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Sô_la_mviê_cNa_y" defaultThemeVersion="124226"/>
  <mc:AlternateContent xmlns:mc="http://schemas.openxmlformats.org/markup-compatibility/2006">
    <mc:Choice Requires="x15">
      <x15ac:absPath xmlns:x15ac="http://schemas.microsoft.com/office/spreadsheetml/2010/11/ac" url="D:\0. NĂM 2026\1. QUYẾT ĐỊNH\1. Công khai NS 2026, QT năm 2025\Công khai quyết toán 2025\"/>
    </mc:Choice>
  </mc:AlternateContent>
  <xr:revisionPtr revIDLastSave="0" documentId="13_ncr:1_{F9785403-F29B-4CC6-91D2-BDB3412EE8EC}" xr6:coauthVersionLast="47" xr6:coauthVersionMax="47" xr10:uidLastSave="{00000000-0000-0000-0000-000000000000}"/>
  <bookViews>
    <workbookView xWindow="-120" yWindow="-120" windowWidth="29040" windowHeight="15720" tabRatio="896" firstSheet="4" activeTab="19" xr2:uid="{00000000-000D-0000-FFFF-FFFF00000000}"/>
  </bookViews>
  <sheets>
    <sheet name="PL tong hop" sheetId="74" state="hidden" r:id="rId1"/>
    <sheet name="SGV" sheetId="163" state="hidden" r:id="rId2"/>
    <sheet name="SGV_2" sheetId="164" state="veryHidden" r:id="rId3"/>
    <sheet name="PHỤ LỤC" sheetId="125" state="hidden" r:id="rId4"/>
    <sheet name="48.QTCĐNSĐP" sheetId="75" r:id="rId5"/>
    <sheet name="49" sheetId="76" r:id="rId6"/>
    <sheet name="50" sheetId="77" r:id="rId7"/>
    <sheet name="51" sheetId="78" r:id="rId8"/>
    <sheet name="52" sheetId="79" r:id="rId9"/>
    <sheet name="53" sheetId="80" r:id="rId10"/>
    <sheet name="54" sheetId="81" r:id="rId11"/>
    <sheet name="55" sheetId="82" r:id="rId12"/>
    <sheet name="56" sheetId="83" r:id="rId13"/>
    <sheet name="57" sheetId="84" r:id="rId14"/>
    <sheet name="58" sheetId="85" r:id="rId15"/>
    <sheet name="59" sheetId="178" r:id="rId16"/>
    <sheet name="60" sheetId="87" r:id="rId17"/>
    <sheet name="61" sheetId="133" r:id="rId18"/>
    <sheet name="62" sheetId="177" r:id="rId19"/>
    <sheet name="63" sheetId="90" r:id="rId20"/>
    <sheet name="64" sheetId="91" r:id="rId21"/>
    <sheet name="CTMT, NV.PB01" sheetId="122" r:id="rId22"/>
    <sheet name="CCTL.PB02" sheetId="176" r:id="rId23"/>
    <sheet name="kết dư" sheetId="179" r:id="rId24"/>
    <sheet name="chuyển nguồn" sheetId="180" r:id="rId25"/>
    <sheet name="Chi NSĐP" sheetId="182" r:id="rId26"/>
    <sheet name="Nguồn CCTL" sheetId="152" state="hidden" r:id="rId27"/>
    <sheet name="Sheet1" sheetId="162" state="hidden" r:id="rId28"/>
    <sheet name="Sheet2" sheetId="165" state="hidden" r:id="rId29"/>
    <sheet name="pb01" sheetId="166" state="hidden" r:id="rId30"/>
    <sheet name="pb02" sheetId="168" state="hidden" r:id="rId31"/>
    <sheet name="PB03" sheetId="169" state="hidden" r:id="rId32"/>
    <sheet name="PB04" sheetId="171" state="hidden" r:id="rId33"/>
    <sheet name="pl05" sheetId="172" state="hidden" r:id="rId34"/>
    <sheet name="PL06" sheetId="170" state="hidden" r:id="rId35"/>
  </sheets>
  <externalReferences>
    <externalReference r:id="rId36"/>
    <externalReference r:id="rId37"/>
    <externalReference r:id="rId38"/>
    <externalReference r:id="rId39"/>
    <externalReference r:id="rId40"/>
  </externalReferences>
  <definedNames>
    <definedName name="_xlnm._FilterDatabase" localSheetId="0" hidden="1">'PL tong hop'!$A$4:$E$101</definedName>
    <definedName name="_xlnm.Print_Titles" localSheetId="6">'50'!$5:$6</definedName>
    <definedName name="_xlnm.Print_Titles" localSheetId="7">'51'!$5:$6</definedName>
    <definedName name="_xlnm.Print_Titles" localSheetId="8">'52'!$5:$7</definedName>
    <definedName name="_xlnm.Print_Titles" localSheetId="9">'53'!$5:$6</definedName>
    <definedName name="_xlnm.Print_Titles" localSheetId="10">'54'!$5:$7</definedName>
    <definedName name="_xlnm.Print_Titles" localSheetId="11">'55'!$5:$7</definedName>
    <definedName name="_xlnm.Print_Titles" localSheetId="12">'56'!$5:$6</definedName>
    <definedName name="_xlnm.Print_Titles" localSheetId="13">'57'!$5:$6</definedName>
    <definedName name="_xlnm.Print_Titles" localSheetId="14">'58'!$4:$7</definedName>
    <definedName name="_xlnm.Print_Titles" localSheetId="15">'59'!$3:$6</definedName>
    <definedName name="_xlnm.Print_Titles" localSheetId="16">'60'!$5:$7</definedName>
    <definedName name="_xlnm.Print_Titles" localSheetId="17">'61'!$5:$9</definedName>
    <definedName name="_xlnm.Print_Titles" localSheetId="18">'62'!$4:$8</definedName>
    <definedName name="_xlnm.Print_Titles" localSheetId="19">'63'!$5:$8</definedName>
    <definedName name="_xlnm.Print_Titles" localSheetId="21">'CTMT, NV.PB01'!$5:$8</definedName>
    <definedName name="_xlnm.Print_Titles" localSheetId="29">'pb01'!$4:$4</definedName>
    <definedName name="_xlnm.Print_Titles" localSheetId="30">'pb02'!$4:$4</definedName>
    <definedName name="_xlnm.Print_Titles" localSheetId="31">'PB03'!$4:$4</definedName>
    <definedName name="_xlnm.Print_Titles" localSheetId="32">'PB04'!$4:$5</definedName>
    <definedName name="_xlnm.Print_Titles" localSheetId="3">'PHỤ LỤC'!$5:$5</definedName>
    <definedName name="_xlnm.Print_Titles" localSheetId="0">'PL tong hop'!$4:$4</definedName>
    <definedName name="_xlnm.Print_Titles" localSheetId="33">'pl05'!$4:$4</definedName>
    <definedName name="_xlnm.Print_Titles">#N/A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 i="90" l="1"/>
  <c r="K29" i="90"/>
  <c r="P29" i="90" s="1"/>
  <c r="P28" i="90"/>
  <c r="K28" i="90"/>
  <c r="D28" i="90"/>
  <c r="P27" i="90"/>
  <c r="K27" i="90"/>
  <c r="J27" i="90"/>
  <c r="F27" i="90"/>
  <c r="D27" i="90"/>
  <c r="P26" i="90"/>
  <c r="P25" i="90" s="1"/>
  <c r="K26" i="90"/>
  <c r="K25" i="90"/>
  <c r="J25" i="90"/>
  <c r="O24" i="90"/>
  <c r="H24" i="90"/>
  <c r="D24" i="90"/>
  <c r="D21" i="90" s="1"/>
  <c r="P23" i="90"/>
  <c r="O23" i="90"/>
  <c r="O21" i="90" s="1"/>
  <c r="K23" i="90"/>
  <c r="H23" i="90"/>
  <c r="D23" i="90"/>
  <c r="N21" i="90"/>
  <c r="L21" i="90"/>
  <c r="J21" i="90"/>
  <c r="I21" i="90"/>
  <c r="F21" i="90"/>
  <c r="C21" i="90"/>
  <c r="O20" i="90"/>
  <c r="O18" i="90" s="1"/>
  <c r="J20" i="90"/>
  <c r="J18" i="90" s="1"/>
  <c r="H20" i="90"/>
  <c r="H18" i="90" s="1"/>
  <c r="D20" i="90"/>
  <c r="D18" i="90" s="1"/>
  <c r="P19" i="90"/>
  <c r="N18" i="90"/>
  <c r="L18" i="90"/>
  <c r="F18" i="90"/>
  <c r="C18" i="90"/>
  <c r="C9" i="90" s="1"/>
  <c r="J17" i="90"/>
  <c r="J14" i="90" s="1"/>
  <c r="H17" i="90"/>
  <c r="D17" i="90"/>
  <c r="P16" i="90"/>
  <c r="K16" i="90"/>
  <c r="D16" i="90"/>
  <c r="D14" i="90" s="1"/>
  <c r="P15" i="90"/>
  <c r="K15" i="90"/>
  <c r="H14" i="90"/>
  <c r="F14" i="90"/>
  <c r="F9" i="90" s="1"/>
  <c r="C14" i="90"/>
  <c r="P13" i="90"/>
  <c r="K13" i="90"/>
  <c r="P12" i="90"/>
  <c r="K12" i="90"/>
  <c r="H11" i="90"/>
  <c r="H10" i="90" s="1"/>
  <c r="O10" i="90"/>
  <c r="N10" i="90"/>
  <c r="N9" i="90" s="1"/>
  <c r="M10" i="90"/>
  <c r="L10" i="90"/>
  <c r="J10" i="90"/>
  <c r="I10" i="90"/>
  <c r="I9" i="90" s="1"/>
  <c r="M9" i="90"/>
  <c r="L9" i="90"/>
  <c r="O9" i="90" l="1"/>
  <c r="J9" i="90"/>
  <c r="D9" i="90"/>
  <c r="P17" i="90"/>
  <c r="P14" i="90" s="1"/>
  <c r="P24" i="90"/>
  <c r="P21" i="90" s="1"/>
  <c r="K11" i="90"/>
  <c r="P20" i="90"/>
  <c r="P18" i="90" s="1"/>
  <c r="H22" i="90"/>
  <c r="K22" i="90" s="1"/>
  <c r="P22" i="90" s="1"/>
  <c r="K17" i="90"/>
  <c r="K14" i="90" s="1"/>
  <c r="K20" i="90"/>
  <c r="K18" i="90" s="1"/>
  <c r="K24" i="90"/>
  <c r="K21" i="90" s="1"/>
  <c r="P11" i="90" l="1"/>
  <c r="P10" i="90" s="1"/>
  <c r="K10" i="90"/>
  <c r="P9" i="90"/>
  <c r="H21" i="90"/>
  <c r="H9" i="90" s="1"/>
  <c r="K9" i="90"/>
  <c r="A3" i="75" l="1"/>
  <c r="U162" i="122"/>
  <c r="P162" i="122" l="1"/>
  <c r="U163" i="122" s="1"/>
  <c r="C11" i="179"/>
  <c r="C9" i="179"/>
  <c r="M63" i="182"/>
  <c r="M62" i="182"/>
  <c r="V10" i="82"/>
  <c r="AN10" i="177"/>
  <c r="C8" i="82"/>
  <c r="C9" i="82"/>
  <c r="B66" i="78"/>
  <c r="B62" i="78"/>
  <c r="H93" i="182"/>
  <c r="G93" i="182" s="1"/>
  <c r="D87" i="182"/>
  <c r="I86" i="182"/>
  <c r="J86" i="182" s="1"/>
  <c r="H86" i="182" s="1"/>
  <c r="G86" i="182" s="1"/>
  <c r="D84" i="182"/>
  <c r="D83" i="182"/>
  <c r="D82" i="182"/>
  <c r="D81" i="182"/>
  <c r="J80" i="182"/>
  <c r="H80" i="182" s="1"/>
  <c r="G80" i="182" s="1"/>
  <c r="L80" i="182" s="1"/>
  <c r="D80" i="182"/>
  <c r="J79" i="182"/>
  <c r="H79" i="182"/>
  <c r="G79" i="182" s="1"/>
  <c r="L79" i="182" s="1"/>
  <c r="F79" i="182"/>
  <c r="D79" i="182"/>
  <c r="I78" i="182"/>
  <c r="D78" i="182"/>
  <c r="I77" i="182"/>
  <c r="I75" i="182" s="1"/>
  <c r="D77" i="182"/>
  <c r="J76" i="182"/>
  <c r="H76" i="182" s="1"/>
  <c r="G76" i="182" s="1"/>
  <c r="D76" i="182"/>
  <c r="F75" i="182"/>
  <c r="D75" i="182"/>
  <c r="J74" i="182"/>
  <c r="H74" i="182" s="1"/>
  <c r="G74" i="182" s="1"/>
  <c r="F74" i="182"/>
  <c r="E74" i="182"/>
  <c r="D74" i="182" s="1"/>
  <c r="J73" i="182"/>
  <c r="H73" i="182"/>
  <c r="G73" i="182"/>
  <c r="F73" i="182"/>
  <c r="D73" i="182" s="1"/>
  <c r="H72" i="182"/>
  <c r="G72" i="182" s="1"/>
  <c r="D72" i="182"/>
  <c r="H71" i="182"/>
  <c r="G71" i="182" s="1"/>
  <c r="L71" i="182" s="1"/>
  <c r="D71" i="182"/>
  <c r="H70" i="182"/>
  <c r="G70" i="182"/>
  <c r="F70" i="182"/>
  <c r="D70" i="182"/>
  <c r="H69" i="182"/>
  <c r="G69" i="182" s="1"/>
  <c r="L69" i="182" s="1"/>
  <c r="D69" i="182"/>
  <c r="D68" i="182"/>
  <c r="H67" i="182"/>
  <c r="D67" i="182"/>
  <c r="J66" i="182"/>
  <c r="J65" i="182" s="1"/>
  <c r="D66" i="182"/>
  <c r="I65" i="182"/>
  <c r="H65" i="182" s="1"/>
  <c r="G65" i="182" s="1"/>
  <c r="F65" i="182"/>
  <c r="F62" i="182" s="1"/>
  <c r="E65" i="182"/>
  <c r="E62" i="182" s="1"/>
  <c r="J64" i="182"/>
  <c r="H64" i="182" s="1"/>
  <c r="G64" i="182" s="1"/>
  <c r="L64" i="182" s="1"/>
  <c r="D64" i="182"/>
  <c r="J63" i="182"/>
  <c r="H63" i="182" s="1"/>
  <c r="D63" i="182"/>
  <c r="C62" i="182"/>
  <c r="F56" i="182"/>
  <c r="F43" i="182" s="1"/>
  <c r="E56" i="182"/>
  <c r="E43" i="182" s="1"/>
  <c r="D56" i="182"/>
  <c r="H54" i="182"/>
  <c r="G54" i="182"/>
  <c r="L54" i="182" s="1"/>
  <c r="D54" i="182"/>
  <c r="J53" i="182"/>
  <c r="J43" i="182" s="1"/>
  <c r="I53" i="182"/>
  <c r="F53" i="182"/>
  <c r="E53" i="182"/>
  <c r="D53" i="182"/>
  <c r="H49" i="182"/>
  <c r="G49" i="182"/>
  <c r="D49" i="182"/>
  <c r="I46" i="182"/>
  <c r="I43" i="182" s="1"/>
  <c r="E46" i="182"/>
  <c r="D46" i="182"/>
  <c r="D43" i="182" s="1"/>
  <c r="J40" i="182"/>
  <c r="I40" i="182"/>
  <c r="H40" i="182"/>
  <c r="G40" i="182"/>
  <c r="F40" i="182"/>
  <c r="E40" i="182"/>
  <c r="D40" i="182"/>
  <c r="D37" i="182" s="1"/>
  <c r="D36" i="182" s="1"/>
  <c r="C40" i="182"/>
  <c r="C37" i="182" s="1"/>
  <c r="C36" i="182" s="1"/>
  <c r="H39" i="182"/>
  <c r="G39" i="182" s="1"/>
  <c r="D39" i="182"/>
  <c r="J37" i="182"/>
  <c r="J36" i="182" s="1"/>
  <c r="I37" i="182"/>
  <c r="I36" i="182" s="1"/>
  <c r="H37" i="182"/>
  <c r="H36" i="182" s="1"/>
  <c r="F37" i="182"/>
  <c r="F36" i="182" s="1"/>
  <c r="E37" i="182"/>
  <c r="E36" i="182" s="1"/>
  <c r="L35" i="182"/>
  <c r="H35" i="182"/>
  <c r="G35" i="182"/>
  <c r="D35" i="182"/>
  <c r="D34" i="182"/>
  <c r="H33" i="182"/>
  <c r="H32" i="182" s="1"/>
  <c r="H30" i="182" s="1"/>
  <c r="G33" i="182"/>
  <c r="E33" i="182"/>
  <c r="E32" i="182" s="1"/>
  <c r="E30" i="182" s="1"/>
  <c r="D33" i="182"/>
  <c r="D32" i="182" s="1"/>
  <c r="D30" i="182" s="1"/>
  <c r="J32" i="182"/>
  <c r="J30" i="182" s="1"/>
  <c r="I32" i="182"/>
  <c r="I30" i="182" s="1"/>
  <c r="F30" i="182"/>
  <c r="C30" i="182"/>
  <c r="H21" i="182"/>
  <c r="G21" i="182" s="1"/>
  <c r="J20" i="182"/>
  <c r="I20" i="182"/>
  <c r="H20" i="182"/>
  <c r="F20" i="182"/>
  <c r="E20" i="182"/>
  <c r="D20" i="182"/>
  <c r="C20" i="182"/>
  <c r="H18" i="182"/>
  <c r="G18" i="182" s="1"/>
  <c r="L18" i="182" s="1"/>
  <c r="H17" i="182"/>
  <c r="G17" i="182" s="1"/>
  <c r="L17" i="182" s="1"/>
  <c r="D17" i="182"/>
  <c r="H15" i="182"/>
  <c r="G15" i="182"/>
  <c r="F15" i="182"/>
  <c r="F14" i="182" s="1"/>
  <c r="F13" i="182" s="1"/>
  <c r="D15" i="182"/>
  <c r="D14" i="182" s="1"/>
  <c r="C15" i="182"/>
  <c r="C14" i="182" s="1"/>
  <c r="C13" i="182" s="1"/>
  <c r="J14" i="182"/>
  <c r="J13" i="182" s="1"/>
  <c r="J12" i="182" s="1"/>
  <c r="J11" i="182" s="1"/>
  <c r="I14" i="182"/>
  <c r="I13" i="182" s="1"/>
  <c r="H14" i="182"/>
  <c r="H13" i="182" s="1"/>
  <c r="E14" i="182"/>
  <c r="E13" i="182" s="1"/>
  <c r="A1" i="182"/>
  <c r="I15" i="180"/>
  <c r="J15" i="180"/>
  <c r="M15" i="180"/>
  <c r="N15" i="180"/>
  <c r="P15" i="180"/>
  <c r="O15" i="180" s="1"/>
  <c r="T15" i="180"/>
  <c r="W15" i="180"/>
  <c r="O17" i="180"/>
  <c r="T17" i="180"/>
  <c r="W17" i="180"/>
  <c r="I18" i="180"/>
  <c r="J18" i="180"/>
  <c r="K18" i="180"/>
  <c r="L18" i="180"/>
  <c r="M18" i="180"/>
  <c r="N18" i="180"/>
  <c r="P18" i="180"/>
  <c r="O18" i="180" s="1"/>
  <c r="Q18" i="180"/>
  <c r="T18" i="180" s="1"/>
  <c r="T20" i="180"/>
  <c r="W20" i="180"/>
  <c r="T21" i="180"/>
  <c r="W21" i="180"/>
  <c r="Q22" i="180"/>
  <c r="O22" i="180" s="1"/>
  <c r="T22" i="180"/>
  <c r="W22" i="180"/>
  <c r="O24" i="180"/>
  <c r="T24" i="180"/>
  <c r="W24" i="180"/>
  <c r="T25" i="180"/>
  <c r="W25" i="180"/>
  <c r="T26" i="180"/>
  <c r="W26" i="180"/>
  <c r="Q27" i="180"/>
  <c r="O27" i="180" s="1"/>
  <c r="T27" i="180"/>
  <c r="W27" i="180"/>
  <c r="O29" i="180"/>
  <c r="O30" i="180"/>
  <c r="O31" i="180"/>
  <c r="O32" i="180"/>
  <c r="O34" i="180"/>
  <c r="P34" i="180"/>
  <c r="T34" i="180"/>
  <c r="W34" i="180"/>
  <c r="O36" i="180"/>
  <c r="T36" i="180"/>
  <c r="W36" i="180"/>
  <c r="H37" i="180"/>
  <c r="I37" i="180"/>
  <c r="P39" i="180"/>
  <c r="O39" i="180" s="1"/>
  <c r="Q39" i="180"/>
  <c r="T39" i="180"/>
  <c r="W39" i="180"/>
  <c r="O40" i="180"/>
  <c r="O41" i="180"/>
  <c r="O42" i="180"/>
  <c r="O43" i="180"/>
  <c r="O44" i="180"/>
  <c r="O45" i="180"/>
  <c r="O46" i="180"/>
  <c r="O47" i="180"/>
  <c r="O48" i="180"/>
  <c r="O49" i="180"/>
  <c r="O50" i="180"/>
  <c r="O51" i="180"/>
  <c r="O52" i="180"/>
  <c r="O53" i="180"/>
  <c r="O54" i="180"/>
  <c r="O55" i="180"/>
  <c r="O56" i="180"/>
  <c r="O57" i="180"/>
  <c r="O58" i="180"/>
  <c r="O59" i="180"/>
  <c r="O60" i="180"/>
  <c r="O61" i="180"/>
  <c r="O62" i="180"/>
  <c r="O63" i="180"/>
  <c r="O64" i="180"/>
  <c r="O65" i="180"/>
  <c r="O66" i="180"/>
  <c r="O67" i="180"/>
  <c r="O68" i="180"/>
  <c r="O69" i="180"/>
  <c r="O70" i="180"/>
  <c r="Q71" i="180"/>
  <c r="P72" i="180"/>
  <c r="P71" i="180" s="1"/>
  <c r="O73" i="180"/>
  <c r="O74" i="180"/>
  <c r="Q74" i="180"/>
  <c r="Q37" i="180" s="1"/>
  <c r="O75" i="180"/>
  <c r="O76" i="180"/>
  <c r="O77" i="180"/>
  <c r="O78" i="180"/>
  <c r="O79" i="180"/>
  <c r="O80" i="180"/>
  <c r="O81" i="180"/>
  <c r="O82" i="180"/>
  <c r="O83" i="180"/>
  <c r="O84" i="180"/>
  <c r="K21" i="182" l="1"/>
  <c r="L21" i="182"/>
  <c r="G20" i="182"/>
  <c r="L20" i="182" s="1"/>
  <c r="K39" i="182"/>
  <c r="G37" i="182"/>
  <c r="G36" i="182" s="1"/>
  <c r="L39" i="182"/>
  <c r="L49" i="182"/>
  <c r="H12" i="182"/>
  <c r="H11" i="182" s="1"/>
  <c r="I12" i="182"/>
  <c r="I11" i="182" s="1"/>
  <c r="D65" i="182"/>
  <c r="D62" i="182" s="1"/>
  <c r="L73" i="182"/>
  <c r="D13" i="182"/>
  <c r="D12" i="182" s="1"/>
  <c r="D11" i="182" s="1"/>
  <c r="H66" i="182"/>
  <c r="G66" i="182" s="1"/>
  <c r="L33" i="182"/>
  <c r="L70" i="182"/>
  <c r="L40" i="182"/>
  <c r="L72" i="182"/>
  <c r="K36" i="182"/>
  <c r="L36" i="182"/>
  <c r="K65" i="182"/>
  <c r="H78" i="182"/>
  <c r="G78" i="182" s="1"/>
  <c r="I10" i="182"/>
  <c r="I94" i="182" s="1"/>
  <c r="C12" i="182"/>
  <c r="C11" i="182" s="1"/>
  <c r="C10" i="182" s="1"/>
  <c r="C94" i="182" s="1"/>
  <c r="I62" i="182"/>
  <c r="E12" i="182"/>
  <c r="E11" i="182" s="1"/>
  <c r="E10" i="182" s="1"/>
  <c r="E94" i="182" s="1"/>
  <c r="G63" i="182"/>
  <c r="L74" i="182"/>
  <c r="F12" i="182"/>
  <c r="F11" i="182" s="1"/>
  <c r="F10" i="182" s="1"/>
  <c r="F94" i="182" s="1"/>
  <c r="K17" i="182"/>
  <c r="K15" i="182"/>
  <c r="G32" i="182"/>
  <c r="K40" i="182"/>
  <c r="H53" i="182"/>
  <c r="G53" i="182" s="1"/>
  <c r="L53" i="182" s="1"/>
  <c r="G14" i="182"/>
  <c r="L15" i="182"/>
  <c r="H46" i="182"/>
  <c r="J78" i="182"/>
  <c r="K37" i="182"/>
  <c r="K20" i="182"/>
  <c r="J77" i="182"/>
  <c r="H77" i="182" s="1"/>
  <c r="G77" i="182" s="1"/>
  <c r="K18" i="182"/>
  <c r="L37" i="182"/>
  <c r="P37" i="180"/>
  <c r="O37" i="180" s="1"/>
  <c r="T71" i="180"/>
  <c r="W71" i="180"/>
  <c r="O71" i="180"/>
  <c r="Q9" i="180"/>
  <c r="O72" i="180"/>
  <c r="W74" i="180"/>
  <c r="P9" i="180"/>
  <c r="O9" i="180" s="1"/>
  <c r="T74" i="180"/>
  <c r="W18" i="180"/>
  <c r="L65" i="182" l="1"/>
  <c r="G46" i="182"/>
  <c r="H43" i="182"/>
  <c r="G13" i="182"/>
  <c r="L14" i="182"/>
  <c r="K14" i="182"/>
  <c r="L63" i="182"/>
  <c r="D10" i="182"/>
  <c r="D94" i="182" s="1"/>
  <c r="J75" i="182"/>
  <c r="L32" i="182"/>
  <c r="G30" i="182"/>
  <c r="L30" i="182" s="1"/>
  <c r="W37" i="180"/>
  <c r="T37" i="180"/>
  <c r="J62" i="182" l="1"/>
  <c r="J10" i="182" s="1"/>
  <c r="J94" i="182" s="1"/>
  <c r="H75" i="182"/>
  <c r="L13" i="182"/>
  <c r="K13" i="182"/>
  <c r="G12" i="182"/>
  <c r="L46" i="182"/>
  <c r="G43" i="182"/>
  <c r="L43" i="182" s="1"/>
  <c r="G11" i="182" l="1"/>
  <c r="L12" i="182"/>
  <c r="K12" i="182"/>
  <c r="G75" i="182"/>
  <c r="H62" i="182"/>
  <c r="H10" i="182" s="1"/>
  <c r="H94" i="182" s="1"/>
  <c r="L75" i="182" l="1"/>
  <c r="G62" i="182"/>
  <c r="G10" i="182" s="1"/>
  <c r="K11" i="182"/>
  <c r="L11" i="182"/>
  <c r="L10" i="182" l="1"/>
  <c r="K10" i="182"/>
  <c r="G94" i="182"/>
  <c r="L62" i="182"/>
  <c r="K62" i="182"/>
  <c r="K94" i="182" l="1"/>
  <c r="L94" i="182"/>
  <c r="D8" i="179" l="1"/>
  <c r="C8" i="179"/>
  <c r="C10" i="179"/>
  <c r="C12" i="179"/>
  <c r="E11" i="179"/>
  <c r="D7" i="179"/>
  <c r="E8" i="179" l="1"/>
  <c r="E7" i="179" s="1"/>
  <c r="C7" i="179"/>
  <c r="E8" i="91"/>
  <c r="E27" i="75" l="1"/>
  <c r="E9" i="77"/>
  <c r="A3" i="76" l="1"/>
  <c r="A3" i="176" l="1"/>
  <c r="A3" i="179" s="1"/>
  <c r="A3" i="180" s="1"/>
  <c r="A3" i="182" s="1"/>
  <c r="A3" i="81"/>
  <c r="A3" i="122"/>
  <c r="A3" i="79"/>
  <c r="A3" i="90"/>
  <c r="A4" i="91" s="1"/>
  <c r="A3" i="177"/>
  <c r="A3" i="87"/>
  <c r="A3" i="178"/>
  <c r="A3" i="83"/>
  <c r="A3" i="77"/>
  <c r="A3" i="78" s="1"/>
  <c r="A3" i="85"/>
  <c r="A3" i="84"/>
  <c r="A3" i="82"/>
  <c r="A3" i="80"/>
  <c r="A3" i="133"/>
  <c r="Y23" i="177"/>
  <c r="Z23" i="177"/>
  <c r="AA23" i="177"/>
  <c r="AB23" i="177"/>
  <c r="AD23" i="177"/>
  <c r="AE23" i="177"/>
  <c r="AG23" i="177"/>
  <c r="AO23" i="177" s="1"/>
  <c r="AH23" i="177"/>
  <c r="AI23" i="177"/>
  <c r="AJ23" i="177"/>
  <c r="AK23" i="177"/>
  <c r="AL23" i="177"/>
  <c r="AM23" i="177"/>
  <c r="H23" i="177"/>
  <c r="I23" i="177"/>
  <c r="J23" i="177"/>
  <c r="K23" i="177"/>
  <c r="L23" i="177"/>
  <c r="O23" i="177"/>
  <c r="P23" i="177"/>
  <c r="Q23" i="177"/>
  <c r="R23" i="177"/>
  <c r="T23" i="177"/>
  <c r="U23" i="177"/>
  <c r="V23" i="177"/>
  <c r="W23" i="177"/>
  <c r="AQ14" i="177"/>
  <c r="AS14" i="177"/>
  <c r="AU15" i="177"/>
  <c r="AU16" i="177"/>
  <c r="AU17" i="177"/>
  <c r="AU18" i="177"/>
  <c r="AR22" i="177"/>
  <c r="AT22" i="177"/>
  <c r="AQ23" i="177"/>
  <c r="AR23" i="177"/>
  <c r="AU26" i="177"/>
  <c r="AO28" i="177"/>
  <c r="AP30" i="177"/>
  <c r="AQ31" i="177"/>
  <c r="AS31" i="177"/>
  <c r="AP32" i="177"/>
  <c r="AS33" i="177"/>
  <c r="AS35" i="177"/>
  <c r="AU36" i="177"/>
  <c r="AR37" i="177"/>
  <c r="AT37" i="177"/>
  <c r="AR38" i="177"/>
  <c r="AT38" i="177"/>
  <c r="AR39" i="177"/>
  <c r="AT39" i="177"/>
  <c r="AR40" i="177"/>
  <c r="AT40" i="177"/>
  <c r="AR41" i="177"/>
  <c r="AT41" i="177"/>
  <c r="AQ42" i="177"/>
  <c r="AS42" i="177"/>
  <c r="AR43" i="177"/>
  <c r="AT43" i="177"/>
  <c r="AR44" i="177"/>
  <c r="AT44" i="177"/>
  <c r="AR45" i="177"/>
  <c r="AT45" i="177"/>
  <c r="AR46" i="177"/>
  <c r="AT46" i="177"/>
  <c r="AR47" i="177"/>
  <c r="AT47" i="177"/>
  <c r="AR48" i="177"/>
  <c r="AT48" i="177"/>
  <c r="AR49" i="177"/>
  <c r="AT49" i="177"/>
  <c r="AR50" i="177"/>
  <c r="AT50" i="177"/>
  <c r="AR51" i="177"/>
  <c r="AT51" i="177"/>
  <c r="AR52" i="177"/>
  <c r="AT52" i="177"/>
  <c r="AR53" i="177"/>
  <c r="AT53" i="177"/>
  <c r="AQ57" i="177"/>
  <c r="AR57" i="177"/>
  <c r="AS57" i="177"/>
  <c r="AT57" i="177"/>
  <c r="AR58" i="177"/>
  <c r="AT58" i="177"/>
  <c r="D20" i="75"/>
  <c r="D25" i="78"/>
  <c r="D24" i="75" s="1"/>
  <c r="AT23" i="177" l="1"/>
  <c r="AU23" i="177"/>
  <c r="AP23" i="177"/>
  <c r="D28" i="79" l="1"/>
  <c r="D12" i="79"/>
  <c r="D11" i="79" s="1"/>
  <c r="D47" i="79"/>
  <c r="K42" i="80"/>
  <c r="H47" i="80" l="1"/>
  <c r="D44" i="78" s="1"/>
  <c r="H49" i="80"/>
  <c r="D46" i="78" s="1"/>
  <c r="H57" i="80"/>
  <c r="D54" i="78" s="1"/>
  <c r="H61" i="80"/>
  <c r="D58" i="78" s="1"/>
  <c r="B47" i="80"/>
  <c r="B44" i="78" s="1"/>
  <c r="B48" i="80"/>
  <c r="B45" i="78" s="1"/>
  <c r="B49" i="80"/>
  <c r="B46" i="78" s="1"/>
  <c r="B50" i="80"/>
  <c r="B47" i="78" s="1"/>
  <c r="B51" i="80"/>
  <c r="B48" i="78" s="1"/>
  <c r="B52" i="80"/>
  <c r="B49" i="78" s="1"/>
  <c r="B53" i="80"/>
  <c r="B50" i="78" s="1"/>
  <c r="B54" i="80"/>
  <c r="B51" i="78" s="1"/>
  <c r="B55" i="80"/>
  <c r="B52" i="78" s="1"/>
  <c r="B56" i="80"/>
  <c r="B53" i="78" s="1"/>
  <c r="B57" i="80"/>
  <c r="B54" i="78" s="1"/>
  <c r="B58" i="80"/>
  <c r="B55" i="78" s="1"/>
  <c r="B59" i="80"/>
  <c r="B56" i="78" s="1"/>
  <c r="B60" i="80"/>
  <c r="B57" i="78" s="1"/>
  <c r="B61" i="80"/>
  <c r="B58" i="78" s="1"/>
  <c r="B62" i="80"/>
  <c r="B59" i="78" s="1"/>
  <c r="B63" i="80"/>
  <c r="B60" i="78" s="1"/>
  <c r="B64" i="80"/>
  <c r="B61" i="78" s="1"/>
  <c r="B65" i="80"/>
  <c r="B66" i="80"/>
  <c r="B63" i="78" s="1"/>
  <c r="B67" i="80"/>
  <c r="B64" i="78" s="1"/>
  <c r="B68" i="80"/>
  <c r="B65" i="78" s="1"/>
  <c r="B69" i="80"/>
  <c r="B70" i="80"/>
  <c r="B67" i="78" s="1"/>
  <c r="B71" i="80"/>
  <c r="B68" i="78" s="1"/>
  <c r="B72" i="80"/>
  <c r="B69" i="78" s="1"/>
  <c r="B73" i="80"/>
  <c r="B70" i="78" s="1"/>
  <c r="B46" i="80"/>
  <c r="B43" i="78" s="1"/>
  <c r="D10" i="80"/>
  <c r="E10" i="80"/>
  <c r="H203" i="122"/>
  <c r="C203" i="122" s="1"/>
  <c r="P139" i="122"/>
  <c r="P108" i="122"/>
  <c r="P112" i="122"/>
  <c r="P113" i="122"/>
  <c r="P120" i="122"/>
  <c r="P123" i="122"/>
  <c r="P132" i="122"/>
  <c r="P46" i="122"/>
  <c r="E44" i="122"/>
  <c r="J44" i="122"/>
  <c r="M44" i="122"/>
  <c r="N44" i="122"/>
  <c r="P44" i="122"/>
  <c r="E45" i="122"/>
  <c r="J45" i="122"/>
  <c r="K45" i="122"/>
  <c r="M45" i="122"/>
  <c r="N45" i="122"/>
  <c r="P45" i="122"/>
  <c r="F151" i="122"/>
  <c r="G151" i="122"/>
  <c r="I151" i="122"/>
  <c r="J151" i="122"/>
  <c r="K151" i="122"/>
  <c r="T51" i="122"/>
  <c r="Q51" i="122"/>
  <c r="O51" i="122"/>
  <c r="L51" i="122"/>
  <c r="H51" i="122"/>
  <c r="G51" i="122"/>
  <c r="F51" i="122"/>
  <c r="T50" i="122"/>
  <c r="Q50" i="122"/>
  <c r="O50" i="122"/>
  <c r="L50" i="122"/>
  <c r="I50" i="122"/>
  <c r="I49" i="122" s="1"/>
  <c r="G50" i="122"/>
  <c r="F50" i="122"/>
  <c r="P49" i="122"/>
  <c r="N49" i="122"/>
  <c r="M49" i="122"/>
  <c r="K49" i="122"/>
  <c r="J49" i="122"/>
  <c r="E49" i="122"/>
  <c r="T48" i="122"/>
  <c r="Q48" i="122"/>
  <c r="O48" i="122"/>
  <c r="L48" i="122"/>
  <c r="I48" i="122"/>
  <c r="I45" i="122" s="1"/>
  <c r="G48" i="122"/>
  <c r="F48" i="122"/>
  <c r="T47" i="122"/>
  <c r="Q47" i="122"/>
  <c r="O47" i="122"/>
  <c r="L47" i="122"/>
  <c r="K47" i="122"/>
  <c r="K46" i="122" s="1"/>
  <c r="I47" i="122"/>
  <c r="G47" i="122"/>
  <c r="F47" i="122"/>
  <c r="N46" i="122"/>
  <c r="M46" i="122"/>
  <c r="J46" i="122"/>
  <c r="E35" i="80" s="1"/>
  <c r="E46" i="122"/>
  <c r="P53" i="122"/>
  <c r="P66" i="122"/>
  <c r="P54" i="122" s="1"/>
  <c r="P31" i="122"/>
  <c r="J112" i="122"/>
  <c r="J113" i="122"/>
  <c r="M112" i="122"/>
  <c r="K86" i="122"/>
  <c r="J87" i="122"/>
  <c r="J88" i="122"/>
  <c r="L86" i="122"/>
  <c r="H23" i="122"/>
  <c r="H24" i="122"/>
  <c r="N19" i="122"/>
  <c r="H17" i="122"/>
  <c r="J53" i="122"/>
  <c r="J54" i="122"/>
  <c r="E53" i="122"/>
  <c r="E54" i="122"/>
  <c r="M60" i="122"/>
  <c r="M59" i="122"/>
  <c r="H59" i="122" s="1"/>
  <c r="H68" i="122"/>
  <c r="H63" i="122"/>
  <c r="D63" i="122"/>
  <c r="H62" i="122"/>
  <c r="D62" i="122"/>
  <c r="T61" i="122"/>
  <c r="Q61" i="122"/>
  <c r="P61" i="122"/>
  <c r="O61" i="122"/>
  <c r="N61" i="122"/>
  <c r="M61" i="122"/>
  <c r="L61" i="122"/>
  <c r="K61" i="122"/>
  <c r="J61" i="122"/>
  <c r="I61" i="122"/>
  <c r="G61" i="122"/>
  <c r="F61" i="122"/>
  <c r="E61" i="122"/>
  <c r="E202" i="122"/>
  <c r="L202" i="122"/>
  <c r="L199" i="122" s="1"/>
  <c r="L198" i="122"/>
  <c r="E198" i="122"/>
  <c r="D198" i="122" s="1"/>
  <c r="E112" i="122"/>
  <c r="E113" i="122"/>
  <c r="E204" i="122"/>
  <c r="E114" i="122"/>
  <c r="E34" i="122"/>
  <c r="E108" i="122"/>
  <c r="D108" i="122" s="1"/>
  <c r="G44" i="122" l="1"/>
  <c r="E43" i="122"/>
  <c r="D61" i="122"/>
  <c r="F45" i="122"/>
  <c r="C62" i="122"/>
  <c r="H47" i="122"/>
  <c r="Q45" i="122"/>
  <c r="L44" i="122"/>
  <c r="Q44" i="122"/>
  <c r="Q43" i="122" s="1"/>
  <c r="P43" i="122"/>
  <c r="H35" i="80" s="1"/>
  <c r="O44" i="122"/>
  <c r="D51" i="122"/>
  <c r="C51" i="122" s="1"/>
  <c r="R51" i="122" s="1"/>
  <c r="S51" i="122" s="1"/>
  <c r="D47" i="122"/>
  <c r="N43" i="122"/>
  <c r="J43" i="122"/>
  <c r="M43" i="122"/>
  <c r="O46" i="122"/>
  <c r="D48" i="122"/>
  <c r="G49" i="122"/>
  <c r="T46" i="122"/>
  <c r="F46" i="122"/>
  <c r="F44" i="122"/>
  <c r="F43" i="122" s="1"/>
  <c r="L45" i="122"/>
  <c r="H50" i="122"/>
  <c r="H44" i="122" s="1"/>
  <c r="T45" i="122"/>
  <c r="O45" i="122"/>
  <c r="I44" i="122"/>
  <c r="I43" i="122" s="1"/>
  <c r="G45" i="122"/>
  <c r="T49" i="122"/>
  <c r="G46" i="122"/>
  <c r="K44" i="122"/>
  <c r="K43" i="122" s="1"/>
  <c r="T44" i="122"/>
  <c r="C47" i="122"/>
  <c r="Q46" i="122"/>
  <c r="E111" i="122"/>
  <c r="I46" i="122"/>
  <c r="O49" i="122"/>
  <c r="Q49" i="122"/>
  <c r="F49" i="122"/>
  <c r="D50" i="122"/>
  <c r="L46" i="122"/>
  <c r="L49" i="122"/>
  <c r="H48" i="122"/>
  <c r="C63" i="122"/>
  <c r="R63" i="122" s="1"/>
  <c r="S63" i="122" s="1"/>
  <c r="H61" i="122"/>
  <c r="R62" i="122"/>
  <c r="G43" i="122" l="1"/>
  <c r="D46" i="122"/>
  <c r="O43" i="122"/>
  <c r="L43" i="122"/>
  <c r="H49" i="122"/>
  <c r="D45" i="122"/>
  <c r="C50" i="122"/>
  <c r="R50" i="122" s="1"/>
  <c r="S50" i="122" s="1"/>
  <c r="S49" i="122" s="1"/>
  <c r="T43" i="122"/>
  <c r="D44" i="122"/>
  <c r="D43" i="122" s="1"/>
  <c r="R47" i="122"/>
  <c r="C48" i="122"/>
  <c r="C46" i="122" s="1"/>
  <c r="H45" i="122"/>
  <c r="H43" i="122" s="1"/>
  <c r="D49" i="122"/>
  <c r="H46" i="122"/>
  <c r="C61" i="122"/>
  <c r="S62" i="122"/>
  <c r="S61" i="122" s="1"/>
  <c r="R61" i="122"/>
  <c r="R44" i="122" l="1"/>
  <c r="R49" i="122"/>
  <c r="C49" i="122"/>
  <c r="S47" i="122"/>
  <c r="C44" i="122"/>
  <c r="R48" i="122"/>
  <c r="C45" i="122"/>
  <c r="C43" i="122" s="1"/>
  <c r="S44" i="122"/>
  <c r="F199" i="122"/>
  <c r="G199" i="122"/>
  <c r="I199" i="122"/>
  <c r="J199" i="122"/>
  <c r="K199" i="122"/>
  <c r="M199" i="122"/>
  <c r="N199" i="122"/>
  <c r="O199" i="122"/>
  <c r="P199" i="122"/>
  <c r="Q199" i="122"/>
  <c r="T199" i="122"/>
  <c r="I191" i="122"/>
  <c r="S48" i="122" l="1"/>
  <c r="R45" i="122"/>
  <c r="R43" i="122" s="1"/>
  <c r="R46" i="122"/>
  <c r="S45" i="122" l="1"/>
  <c r="S43" i="122" s="1"/>
  <c r="S46" i="122"/>
  <c r="H205" i="122" l="1"/>
  <c r="D205" i="122"/>
  <c r="E199" i="122"/>
  <c r="D19" i="176"/>
  <c r="H202" i="122"/>
  <c r="H201" i="122"/>
  <c r="D201" i="122"/>
  <c r="I190" i="122"/>
  <c r="C201" i="122" l="1"/>
  <c r="R201" i="122" s="1"/>
  <c r="S201" i="122" s="1"/>
  <c r="D202" i="122"/>
  <c r="C202" i="122" s="1"/>
  <c r="R202" i="122" s="1"/>
  <c r="C205" i="122"/>
  <c r="R205" i="122" s="1"/>
  <c r="S202" i="122" l="1"/>
  <c r="E191" i="122"/>
  <c r="E157" i="122" s="1"/>
  <c r="F191" i="122"/>
  <c r="F157" i="122" s="1"/>
  <c r="G191" i="122"/>
  <c r="G157" i="122" s="1"/>
  <c r="J191" i="122"/>
  <c r="J157" i="122" s="1"/>
  <c r="K191" i="122"/>
  <c r="K157" i="122" s="1"/>
  <c r="L191" i="122"/>
  <c r="L157" i="122" s="1"/>
  <c r="M191" i="122"/>
  <c r="M157" i="122" s="1"/>
  <c r="N191" i="122"/>
  <c r="N157" i="122" s="1"/>
  <c r="O191" i="122"/>
  <c r="P191" i="122"/>
  <c r="Q191" i="122"/>
  <c r="Q157" i="122" s="1"/>
  <c r="T191" i="122"/>
  <c r="E153" i="122"/>
  <c r="E151" i="122" s="1"/>
  <c r="H196" i="122"/>
  <c r="D196" i="122"/>
  <c r="H200" i="122"/>
  <c r="H199" i="122" s="1"/>
  <c r="D200" i="122"/>
  <c r="D199" i="122" s="1"/>
  <c r="H197" i="122"/>
  <c r="D197" i="122"/>
  <c r="I162" i="122"/>
  <c r="E12" i="176"/>
  <c r="H192" i="122"/>
  <c r="H193" i="122"/>
  <c r="H194" i="122"/>
  <c r="H195" i="122"/>
  <c r="H198" i="122"/>
  <c r="D192" i="122"/>
  <c r="D193" i="122"/>
  <c r="D194" i="122"/>
  <c r="D195" i="122"/>
  <c r="C196" i="122" l="1"/>
  <c r="R196" i="122" s="1"/>
  <c r="S196" i="122" s="1"/>
  <c r="D191" i="122"/>
  <c r="C194" i="122"/>
  <c r="R194" i="122" s="1"/>
  <c r="S194" i="122" s="1"/>
  <c r="C200" i="122"/>
  <c r="C199" i="122" s="1"/>
  <c r="C193" i="122"/>
  <c r="R193" i="122" s="1"/>
  <c r="S193" i="122" s="1"/>
  <c r="R200" i="122"/>
  <c r="R203" i="122" s="1"/>
  <c r="S203" i="122" s="1"/>
  <c r="H191" i="122"/>
  <c r="C195" i="122"/>
  <c r="R195" i="122" s="1"/>
  <c r="S195" i="122" s="1"/>
  <c r="C197" i="122"/>
  <c r="R197" i="122" s="1"/>
  <c r="S197" i="122" s="1"/>
  <c r="C198" i="122"/>
  <c r="R198" i="122" s="1"/>
  <c r="S198" i="122" s="1"/>
  <c r="C192" i="122"/>
  <c r="R192" i="122" s="1"/>
  <c r="R199" i="122" l="1"/>
  <c r="S200" i="122"/>
  <c r="S199" i="122" s="1"/>
  <c r="S191" i="122"/>
  <c r="R191" i="122"/>
  <c r="H155" i="122"/>
  <c r="C155" i="122" s="1"/>
  <c r="R155" i="122" s="1"/>
  <c r="H156" i="122"/>
  <c r="P160" i="122" l="1"/>
  <c r="H48" i="80" s="1"/>
  <c r="D45" i="78" s="1"/>
  <c r="O161" i="122"/>
  <c r="H50" i="80"/>
  <c r="P163" i="122"/>
  <c r="H51" i="80" s="1"/>
  <c r="D48" i="78" s="1"/>
  <c r="P164" i="122"/>
  <c r="P165" i="122"/>
  <c r="I166" i="122"/>
  <c r="P166" i="122"/>
  <c r="H54" i="80" s="1"/>
  <c r="D51" i="78" s="1"/>
  <c r="D47" i="78" l="1"/>
  <c r="O165" i="122"/>
  <c r="H53" i="80"/>
  <c r="D50" i="78" s="1"/>
  <c r="O164" i="122"/>
  <c r="H52" i="80"/>
  <c r="D49" i="78" s="1"/>
  <c r="O166" i="122"/>
  <c r="P168" i="122"/>
  <c r="H56" i="80" s="1"/>
  <c r="D53" i="78" s="1"/>
  <c r="H168" i="122"/>
  <c r="D168" i="122"/>
  <c r="P167" i="122"/>
  <c r="H55" i="80" s="1"/>
  <c r="D52" i="78" s="1"/>
  <c r="H167" i="122"/>
  <c r="D167" i="122"/>
  <c r="I169" i="122"/>
  <c r="I170" i="122"/>
  <c r="P171" i="122"/>
  <c r="H59" i="80" s="1"/>
  <c r="D56" i="78" s="1"/>
  <c r="H171" i="122"/>
  <c r="D171" i="122"/>
  <c r="P172" i="122"/>
  <c r="H60" i="80" s="1"/>
  <c r="D57" i="78" s="1"/>
  <c r="P175" i="122"/>
  <c r="H63" i="80" s="1"/>
  <c r="D60" i="78" s="1"/>
  <c r="P176" i="122"/>
  <c r="H64" i="80" s="1"/>
  <c r="D61" i="78" s="1"/>
  <c r="H176" i="122"/>
  <c r="D176" i="122"/>
  <c r="P177" i="122"/>
  <c r="H65" i="80" s="1"/>
  <c r="D62" i="78" s="1"/>
  <c r="P182" i="122"/>
  <c r="H70" i="80" s="1"/>
  <c r="D67" i="78" s="1"/>
  <c r="C168" i="122" l="1"/>
  <c r="I204" i="122"/>
  <c r="R168" i="122"/>
  <c r="T168" i="122" s="1"/>
  <c r="C167" i="122"/>
  <c r="R167" i="122" s="1"/>
  <c r="T167" i="122" s="1"/>
  <c r="O169" i="122"/>
  <c r="O157" i="122" s="1"/>
  <c r="C171" i="122"/>
  <c r="R171" i="122" s="1"/>
  <c r="C176" i="122"/>
  <c r="R176" i="122" s="1"/>
  <c r="H204" i="122" l="1"/>
  <c r="I157" i="122"/>
  <c r="K150" i="122"/>
  <c r="L151" i="122"/>
  <c r="M151" i="122"/>
  <c r="N151" i="122"/>
  <c r="O151" i="122"/>
  <c r="O150" i="122" s="1"/>
  <c r="Q151" i="122"/>
  <c r="Q150" i="122" s="1"/>
  <c r="H154" i="122"/>
  <c r="D154" i="122"/>
  <c r="P152" i="122"/>
  <c r="P151" i="122" s="1"/>
  <c r="H11" i="80" s="1"/>
  <c r="K11" i="80" l="1"/>
  <c r="H10" i="80"/>
  <c r="K10" i="80" s="1"/>
  <c r="F20" i="80"/>
  <c r="C156" i="122"/>
  <c r="R156" i="122" l="1"/>
  <c r="T156" i="122" l="1"/>
  <c r="H149" i="122" l="1"/>
  <c r="C149" i="122" s="1"/>
  <c r="R149" i="122" s="1"/>
  <c r="D148" i="122"/>
  <c r="E148" i="122"/>
  <c r="F148" i="122"/>
  <c r="G148" i="122"/>
  <c r="I148" i="122"/>
  <c r="J148" i="122"/>
  <c r="K148" i="122"/>
  <c r="L148" i="122"/>
  <c r="M148" i="122"/>
  <c r="N148" i="122"/>
  <c r="O148" i="122"/>
  <c r="P148" i="122"/>
  <c r="Q148" i="122"/>
  <c r="S148" i="122"/>
  <c r="C148" i="122" l="1"/>
  <c r="H148" i="122" l="1"/>
  <c r="D204" i="122"/>
  <c r="H190" i="122"/>
  <c r="D190" i="122"/>
  <c r="H189" i="122"/>
  <c r="D189" i="122"/>
  <c r="H188" i="122"/>
  <c r="D188" i="122"/>
  <c r="H187" i="122"/>
  <c r="D187" i="122"/>
  <c r="H186" i="122"/>
  <c r="P186" i="122" s="1"/>
  <c r="H73" i="80" s="1"/>
  <c r="D70" i="78" s="1"/>
  <c r="D186" i="122"/>
  <c r="H185" i="122"/>
  <c r="D185" i="122"/>
  <c r="H184" i="122"/>
  <c r="P184" i="122" s="1"/>
  <c r="H72" i="80" s="1"/>
  <c r="D69" i="78" s="1"/>
  <c r="D184" i="122"/>
  <c r="H183" i="122"/>
  <c r="P183" i="122" s="1"/>
  <c r="H71" i="80" s="1"/>
  <c r="D68" i="78" s="1"/>
  <c r="D183" i="122"/>
  <c r="H182" i="122"/>
  <c r="D182" i="122"/>
  <c r="H181" i="122"/>
  <c r="P181" i="122" s="1"/>
  <c r="H69" i="80" s="1"/>
  <c r="D66" i="78" s="1"/>
  <c r="D181" i="122"/>
  <c r="H180" i="122"/>
  <c r="P180" i="122" s="1"/>
  <c r="H68" i="80" s="1"/>
  <c r="D65" i="78" s="1"/>
  <c r="D180" i="122"/>
  <c r="H179" i="122"/>
  <c r="P179" i="122" s="1"/>
  <c r="H67" i="80" s="1"/>
  <c r="D64" i="78" s="1"/>
  <c r="D179" i="122"/>
  <c r="H178" i="122"/>
  <c r="D178" i="122"/>
  <c r="H177" i="122"/>
  <c r="D177" i="122"/>
  <c r="H175" i="122"/>
  <c r="D175" i="122"/>
  <c r="H174" i="122"/>
  <c r="P174" i="122" s="1"/>
  <c r="H62" i="80" s="1"/>
  <c r="D59" i="78" s="1"/>
  <c r="D174" i="122"/>
  <c r="H173" i="122"/>
  <c r="D173" i="122"/>
  <c r="H172" i="122"/>
  <c r="D172" i="122"/>
  <c r="H170" i="122"/>
  <c r="P170" i="122" s="1"/>
  <c r="H58" i="80" s="1"/>
  <c r="D170" i="122"/>
  <c r="H169" i="122"/>
  <c r="D169" i="122"/>
  <c r="H166" i="122"/>
  <c r="D166" i="122"/>
  <c r="H165" i="122"/>
  <c r="D165" i="122"/>
  <c r="H164" i="122"/>
  <c r="D164" i="122"/>
  <c r="H163" i="122"/>
  <c r="D163" i="122"/>
  <c r="D162" i="122"/>
  <c r="H161" i="122"/>
  <c r="D161" i="122"/>
  <c r="H160" i="122"/>
  <c r="D160" i="122"/>
  <c r="D159" i="122"/>
  <c r="H158" i="122"/>
  <c r="P158" i="122" s="1"/>
  <c r="H46" i="80" s="1"/>
  <c r="D158" i="122"/>
  <c r="C154" i="122"/>
  <c r="R154" i="122" s="1"/>
  <c r="T154" i="122" s="1"/>
  <c r="H153" i="122"/>
  <c r="H152" i="122"/>
  <c r="D152" i="122"/>
  <c r="H147" i="122"/>
  <c r="H146" i="122"/>
  <c r="Q145" i="122"/>
  <c r="P145" i="122"/>
  <c r="O145" i="122"/>
  <c r="N145" i="122"/>
  <c r="M145" i="122"/>
  <c r="L145" i="122"/>
  <c r="K145" i="122"/>
  <c r="J145" i="122"/>
  <c r="I145" i="122"/>
  <c r="G145" i="122"/>
  <c r="F145" i="122"/>
  <c r="H144" i="122"/>
  <c r="H143" i="122"/>
  <c r="Q142" i="122"/>
  <c r="P142" i="122"/>
  <c r="O142" i="122"/>
  <c r="N142" i="122"/>
  <c r="M142" i="122"/>
  <c r="L142" i="122"/>
  <c r="K142" i="122"/>
  <c r="J142" i="122"/>
  <c r="I142" i="122"/>
  <c r="G142" i="122"/>
  <c r="F142" i="122"/>
  <c r="H141" i="122"/>
  <c r="H140" i="122"/>
  <c r="T139" i="122"/>
  <c r="Q139" i="122"/>
  <c r="O139" i="122"/>
  <c r="N139" i="122"/>
  <c r="M139" i="122"/>
  <c r="L139" i="122"/>
  <c r="K139" i="122"/>
  <c r="J139" i="122"/>
  <c r="I139" i="122"/>
  <c r="G139" i="122"/>
  <c r="F139" i="122"/>
  <c r="E138" i="122"/>
  <c r="D138" i="122" s="1"/>
  <c r="H137" i="122"/>
  <c r="C137" i="122" s="1"/>
  <c r="R137" i="122" s="1"/>
  <c r="S137" i="122" s="1"/>
  <c r="H136" i="122"/>
  <c r="T135" i="122"/>
  <c r="Q135" i="122"/>
  <c r="P135" i="122"/>
  <c r="O135" i="122"/>
  <c r="N135" i="122"/>
  <c r="M135" i="122"/>
  <c r="L135" i="122"/>
  <c r="K135" i="122"/>
  <c r="J135" i="122"/>
  <c r="I135" i="122"/>
  <c r="G135" i="122"/>
  <c r="F135" i="122"/>
  <c r="H134" i="122"/>
  <c r="D134" i="122"/>
  <c r="H133" i="122"/>
  <c r="D133" i="122"/>
  <c r="T132" i="122"/>
  <c r="Q132" i="122"/>
  <c r="O132" i="122"/>
  <c r="N132" i="122"/>
  <c r="M132" i="122"/>
  <c r="L132" i="122"/>
  <c r="K132" i="122"/>
  <c r="J132" i="122"/>
  <c r="I132" i="122"/>
  <c r="G132" i="122"/>
  <c r="F132" i="122"/>
  <c r="E132" i="122"/>
  <c r="H131" i="122"/>
  <c r="H130" i="122"/>
  <c r="S129" i="122"/>
  <c r="Q129" i="122"/>
  <c r="P129" i="122"/>
  <c r="O129" i="122"/>
  <c r="N129" i="122"/>
  <c r="M129" i="122"/>
  <c r="L129" i="122"/>
  <c r="K129" i="122"/>
  <c r="J129" i="122"/>
  <c r="I129" i="122"/>
  <c r="G129" i="122"/>
  <c r="F129" i="122"/>
  <c r="Q128" i="122"/>
  <c r="Q126" i="122" s="1"/>
  <c r="P128" i="122"/>
  <c r="P126" i="122" s="1"/>
  <c r="H128" i="122"/>
  <c r="H127" i="122"/>
  <c r="T126" i="122"/>
  <c r="O126" i="122"/>
  <c r="N126" i="122"/>
  <c r="M126" i="122"/>
  <c r="L126" i="122"/>
  <c r="K126" i="122"/>
  <c r="J126" i="122"/>
  <c r="I126" i="122"/>
  <c r="G126" i="122"/>
  <c r="F126" i="122"/>
  <c r="H125" i="122"/>
  <c r="H124" i="122"/>
  <c r="D124" i="122"/>
  <c r="T123" i="122"/>
  <c r="Q123" i="122"/>
  <c r="O123" i="122"/>
  <c r="N123" i="122"/>
  <c r="M123" i="122"/>
  <c r="L123" i="122"/>
  <c r="K123" i="122"/>
  <c r="J123" i="122"/>
  <c r="I123" i="122"/>
  <c r="G123" i="122"/>
  <c r="F123" i="122"/>
  <c r="E123" i="122"/>
  <c r="H122" i="122"/>
  <c r="H121" i="122"/>
  <c r="T120" i="122"/>
  <c r="Q120" i="122"/>
  <c r="O120" i="122"/>
  <c r="N120" i="122"/>
  <c r="M120" i="122"/>
  <c r="L120" i="122"/>
  <c r="K120" i="122"/>
  <c r="J120" i="122"/>
  <c r="I120" i="122"/>
  <c r="G120" i="122"/>
  <c r="F120" i="122"/>
  <c r="H119" i="122"/>
  <c r="H118" i="122"/>
  <c r="T117" i="122"/>
  <c r="Q117" i="122"/>
  <c r="O117" i="122"/>
  <c r="L117" i="122"/>
  <c r="K117" i="122"/>
  <c r="J117" i="122"/>
  <c r="I117" i="122"/>
  <c r="H116" i="122"/>
  <c r="D116" i="122"/>
  <c r="D113" i="122" s="1"/>
  <c r="H115" i="122"/>
  <c r="T114" i="122"/>
  <c r="Q114" i="122"/>
  <c r="P114" i="122"/>
  <c r="O114" i="122"/>
  <c r="L114" i="122"/>
  <c r="K114" i="122"/>
  <c r="J114" i="122"/>
  <c r="I114" i="122"/>
  <c r="T113" i="122"/>
  <c r="Q113" i="122"/>
  <c r="O113" i="122"/>
  <c r="N113" i="122"/>
  <c r="M113" i="122"/>
  <c r="L113" i="122"/>
  <c r="K113" i="122"/>
  <c r="I113" i="122"/>
  <c r="G113" i="122"/>
  <c r="F113" i="122"/>
  <c r="T112" i="122"/>
  <c r="Q112" i="122"/>
  <c r="O112" i="122"/>
  <c r="N112" i="122"/>
  <c r="L112" i="122"/>
  <c r="K112" i="122"/>
  <c r="I112" i="122"/>
  <c r="G112" i="122"/>
  <c r="F112" i="122"/>
  <c r="H110" i="122"/>
  <c r="D110" i="122"/>
  <c r="H109" i="122"/>
  <c r="D109" i="122"/>
  <c r="T108" i="122"/>
  <c r="O108" i="122"/>
  <c r="N108" i="122"/>
  <c r="M108" i="122"/>
  <c r="L108" i="122"/>
  <c r="K108" i="122"/>
  <c r="J108" i="122"/>
  <c r="I108" i="122"/>
  <c r="G108" i="122"/>
  <c r="F108" i="122"/>
  <c r="H107" i="122"/>
  <c r="D107" i="122"/>
  <c r="H106" i="122"/>
  <c r="D106" i="122"/>
  <c r="T105" i="122"/>
  <c r="Q105" i="122"/>
  <c r="P105" i="122"/>
  <c r="O105" i="122"/>
  <c r="N105" i="122"/>
  <c r="M105" i="122"/>
  <c r="L105" i="122"/>
  <c r="K105" i="122"/>
  <c r="J105" i="122"/>
  <c r="I105" i="122"/>
  <c r="G105" i="122"/>
  <c r="F105" i="122"/>
  <c r="F101" i="122" s="1"/>
  <c r="E105" i="122"/>
  <c r="H104" i="122"/>
  <c r="H103" i="122"/>
  <c r="D103" i="122"/>
  <c r="D102" i="122" s="1"/>
  <c r="T102" i="122"/>
  <c r="Q102" i="122"/>
  <c r="P102" i="122"/>
  <c r="O102" i="122"/>
  <c r="N102" i="122"/>
  <c r="M102" i="122"/>
  <c r="L102" i="122"/>
  <c r="K102" i="122"/>
  <c r="J102" i="122"/>
  <c r="I102" i="122"/>
  <c r="G102" i="122"/>
  <c r="E102" i="122"/>
  <c r="H100" i="122"/>
  <c r="D100" i="122"/>
  <c r="H99" i="122"/>
  <c r="D99" i="122"/>
  <c r="T98" i="122"/>
  <c r="Q98" i="122"/>
  <c r="P98" i="122"/>
  <c r="O98" i="122"/>
  <c r="N98" i="122"/>
  <c r="M98" i="122"/>
  <c r="L98" i="122"/>
  <c r="K98" i="122"/>
  <c r="J98" i="122"/>
  <c r="I98" i="122"/>
  <c r="G98" i="122"/>
  <c r="F98" i="122"/>
  <c r="E98" i="122"/>
  <c r="N94" i="122"/>
  <c r="T95" i="122"/>
  <c r="S95" i="122"/>
  <c r="R95" i="122"/>
  <c r="Q95" i="122"/>
  <c r="P95" i="122"/>
  <c r="O95" i="122"/>
  <c r="M95" i="122"/>
  <c r="L95" i="122"/>
  <c r="K95" i="122"/>
  <c r="J95" i="122"/>
  <c r="I95" i="122"/>
  <c r="G95" i="122"/>
  <c r="F95" i="122"/>
  <c r="T94" i="122"/>
  <c r="S94" i="122"/>
  <c r="Q94" i="122"/>
  <c r="P94" i="122"/>
  <c r="P91" i="122" s="1"/>
  <c r="O94" i="122"/>
  <c r="M94" i="122"/>
  <c r="L94" i="122"/>
  <c r="K94" i="122"/>
  <c r="J94" i="122"/>
  <c r="I94" i="122"/>
  <c r="G94" i="122"/>
  <c r="F94" i="122"/>
  <c r="E94" i="122"/>
  <c r="E91" i="122" s="1"/>
  <c r="T93" i="122"/>
  <c r="Q93" i="122"/>
  <c r="P93" i="122"/>
  <c r="P90" i="122" s="1"/>
  <c r="P89" i="122" s="1"/>
  <c r="H39" i="80" s="1"/>
  <c r="O93" i="122"/>
  <c r="M93" i="122"/>
  <c r="L93" i="122"/>
  <c r="K93" i="122"/>
  <c r="J93" i="122"/>
  <c r="I93" i="122"/>
  <c r="G93" i="122"/>
  <c r="F93" i="122"/>
  <c r="E93" i="122"/>
  <c r="E90" i="122" s="1"/>
  <c r="H88" i="122"/>
  <c r="D88" i="122"/>
  <c r="H87" i="122"/>
  <c r="T86" i="122"/>
  <c r="Q86" i="122"/>
  <c r="O86" i="122"/>
  <c r="N86" i="122"/>
  <c r="M86" i="122"/>
  <c r="I86" i="122"/>
  <c r="G86" i="122"/>
  <c r="F86" i="122"/>
  <c r="M79" i="122"/>
  <c r="M76" i="122" s="1"/>
  <c r="J79" i="122"/>
  <c r="D85" i="122"/>
  <c r="D84" i="122"/>
  <c r="T83" i="122"/>
  <c r="Q83" i="122"/>
  <c r="O83" i="122"/>
  <c r="N83" i="122"/>
  <c r="L83" i="122"/>
  <c r="K83" i="122"/>
  <c r="I83" i="122"/>
  <c r="G83" i="122"/>
  <c r="F83" i="122"/>
  <c r="H82" i="122"/>
  <c r="H81" i="122"/>
  <c r="O80" i="122"/>
  <c r="N80" i="122"/>
  <c r="M80" i="122"/>
  <c r="L80" i="122"/>
  <c r="K80" i="122"/>
  <c r="J80" i="122"/>
  <c r="I80" i="122"/>
  <c r="G80" i="122"/>
  <c r="F80" i="122"/>
  <c r="T79" i="122"/>
  <c r="T76" i="122" s="1"/>
  <c r="Q79" i="122"/>
  <c r="Q76" i="122" s="1"/>
  <c r="O79" i="122"/>
  <c r="O76" i="122" s="1"/>
  <c r="N79" i="122"/>
  <c r="L79" i="122"/>
  <c r="K79" i="122"/>
  <c r="K76" i="122" s="1"/>
  <c r="I79" i="122"/>
  <c r="I76" i="122" s="1"/>
  <c r="G79" i="122"/>
  <c r="G76" i="122" s="1"/>
  <c r="F79" i="122"/>
  <c r="F76" i="122" s="1"/>
  <c r="T78" i="122"/>
  <c r="Q78" i="122"/>
  <c r="Q75" i="122" s="1"/>
  <c r="O78" i="122"/>
  <c r="O75" i="122" s="1"/>
  <c r="N78" i="122"/>
  <c r="N75" i="122" s="1"/>
  <c r="L78" i="122"/>
  <c r="L75" i="122" s="1"/>
  <c r="K78" i="122"/>
  <c r="K75" i="122" s="1"/>
  <c r="I78" i="122"/>
  <c r="G78" i="122"/>
  <c r="F78" i="122"/>
  <c r="F75" i="122" s="1"/>
  <c r="N72" i="122"/>
  <c r="N71" i="122"/>
  <c r="T70" i="122"/>
  <c r="Q70" i="122"/>
  <c r="P70" i="122"/>
  <c r="O70" i="122"/>
  <c r="M70" i="122"/>
  <c r="L70" i="122"/>
  <c r="K70" i="122"/>
  <c r="J70" i="122"/>
  <c r="I70" i="122"/>
  <c r="G70" i="122"/>
  <c r="F70" i="122"/>
  <c r="H69" i="122"/>
  <c r="T67" i="122"/>
  <c r="Q67" i="122"/>
  <c r="P67" i="122"/>
  <c r="O67" i="122"/>
  <c r="N67" i="122"/>
  <c r="M67" i="122"/>
  <c r="L67" i="122"/>
  <c r="K67" i="122"/>
  <c r="J67" i="122"/>
  <c r="I67" i="122"/>
  <c r="G67" i="122"/>
  <c r="F67" i="122"/>
  <c r="Q66" i="122"/>
  <c r="O66" i="122"/>
  <c r="M66" i="122"/>
  <c r="M54" i="122" s="1"/>
  <c r="L66" i="122"/>
  <c r="K66" i="122"/>
  <c r="K54" i="122" s="1"/>
  <c r="I66" i="122"/>
  <c r="G66" i="122"/>
  <c r="F66" i="122"/>
  <c r="F54" i="122" s="1"/>
  <c r="Q65" i="122"/>
  <c r="Q53" i="122" s="1"/>
  <c r="O65" i="122"/>
  <c r="M65" i="122"/>
  <c r="M53" i="122" s="1"/>
  <c r="L65" i="122"/>
  <c r="L53" i="122" s="1"/>
  <c r="K65" i="122"/>
  <c r="K53" i="122" s="1"/>
  <c r="I65" i="122"/>
  <c r="G65" i="122"/>
  <c r="G53" i="122" s="1"/>
  <c r="F65" i="122"/>
  <c r="T64" i="122"/>
  <c r="D60" i="122"/>
  <c r="D54" i="122" s="1"/>
  <c r="D59" i="122"/>
  <c r="T58" i="122"/>
  <c r="Q58" i="122"/>
  <c r="O58" i="122"/>
  <c r="N58" i="122"/>
  <c r="L58" i="122"/>
  <c r="K58" i="122"/>
  <c r="I58" i="122"/>
  <c r="G58" i="122"/>
  <c r="F58" i="122"/>
  <c r="E58" i="122"/>
  <c r="N57" i="122"/>
  <c r="N54" i="122" s="1"/>
  <c r="N56" i="122"/>
  <c r="N53" i="122" s="1"/>
  <c r="T55" i="122"/>
  <c r="S55" i="122"/>
  <c r="R55" i="122"/>
  <c r="Q55" i="122"/>
  <c r="P55" i="122"/>
  <c r="O55" i="122"/>
  <c r="M55" i="122"/>
  <c r="L55" i="122"/>
  <c r="K55" i="122"/>
  <c r="I55" i="122"/>
  <c r="G55" i="122"/>
  <c r="F55" i="122"/>
  <c r="T54" i="122"/>
  <c r="T53" i="122"/>
  <c r="H41" i="122"/>
  <c r="H40" i="122"/>
  <c r="D40" i="122"/>
  <c r="T39" i="122"/>
  <c r="Q39" i="122"/>
  <c r="O39" i="122"/>
  <c r="N39" i="122"/>
  <c r="M39" i="122"/>
  <c r="L39" i="122"/>
  <c r="K39" i="122"/>
  <c r="I39" i="122"/>
  <c r="G39" i="122"/>
  <c r="F39" i="122"/>
  <c r="H38" i="122"/>
  <c r="C38" i="122" s="1"/>
  <c r="H37" i="122"/>
  <c r="T36" i="122"/>
  <c r="Q36" i="122"/>
  <c r="O36" i="122"/>
  <c r="N36" i="122"/>
  <c r="M36" i="122"/>
  <c r="L36" i="122"/>
  <c r="K36" i="122"/>
  <c r="I36" i="122"/>
  <c r="G36" i="122"/>
  <c r="F36" i="122"/>
  <c r="T35" i="122"/>
  <c r="Q35" i="122"/>
  <c r="O35" i="122"/>
  <c r="N35" i="122"/>
  <c r="N15" i="122" s="1"/>
  <c r="M35" i="122"/>
  <c r="L35" i="122"/>
  <c r="K35" i="122"/>
  <c r="I35" i="122"/>
  <c r="G35" i="122"/>
  <c r="F35" i="122"/>
  <c r="T34" i="122"/>
  <c r="Q34" i="122"/>
  <c r="O34" i="122"/>
  <c r="N34" i="122"/>
  <c r="N14" i="122" s="1"/>
  <c r="M34" i="122"/>
  <c r="L34" i="122"/>
  <c r="K34" i="122"/>
  <c r="I34" i="122"/>
  <c r="G34" i="122"/>
  <c r="F34" i="122"/>
  <c r="H32" i="122"/>
  <c r="H31" i="122"/>
  <c r="T30" i="122"/>
  <c r="T29" i="122" s="1"/>
  <c r="Q30" i="122"/>
  <c r="Q29" i="122" s="1"/>
  <c r="O30" i="122"/>
  <c r="O29" i="122" s="1"/>
  <c r="N30" i="122"/>
  <c r="N29" i="122" s="1"/>
  <c r="M30" i="122"/>
  <c r="M29" i="122" s="1"/>
  <c r="L30" i="122"/>
  <c r="L29" i="122" s="1"/>
  <c r="K30" i="122"/>
  <c r="K29" i="122" s="1"/>
  <c r="I30" i="122"/>
  <c r="I29" i="122" s="1"/>
  <c r="G30" i="122"/>
  <c r="G29" i="122" s="1"/>
  <c r="F30" i="122"/>
  <c r="F29" i="122" s="1"/>
  <c r="H28" i="122"/>
  <c r="H27" i="122"/>
  <c r="T26" i="122"/>
  <c r="T25" i="122" s="1"/>
  <c r="Q26" i="122"/>
  <c r="Q25" i="122" s="1"/>
  <c r="O26" i="122"/>
  <c r="O25" i="122" s="1"/>
  <c r="N26" i="122"/>
  <c r="N25" i="122" s="1"/>
  <c r="M26" i="122"/>
  <c r="M25" i="122" s="1"/>
  <c r="L26" i="122"/>
  <c r="L25" i="122" s="1"/>
  <c r="K26" i="122"/>
  <c r="K25" i="122" s="1"/>
  <c r="I26" i="122"/>
  <c r="I25" i="122" s="1"/>
  <c r="G26" i="122"/>
  <c r="G25" i="122" s="1"/>
  <c r="F26" i="122"/>
  <c r="F25" i="122" s="1"/>
  <c r="P21" i="122"/>
  <c r="E21" i="122"/>
  <c r="D23" i="122"/>
  <c r="T22" i="122"/>
  <c r="Q22" i="122"/>
  <c r="O22" i="122"/>
  <c r="M22" i="122"/>
  <c r="L22" i="122"/>
  <c r="K22" i="122"/>
  <c r="I22" i="122"/>
  <c r="G22" i="122"/>
  <c r="F22" i="122"/>
  <c r="T21" i="122"/>
  <c r="Q21" i="122"/>
  <c r="O21" i="122"/>
  <c r="O15" i="122" s="1"/>
  <c r="M21" i="122"/>
  <c r="L21" i="122"/>
  <c r="K21" i="122"/>
  <c r="I21" i="122"/>
  <c r="G21" i="122"/>
  <c r="F21" i="122"/>
  <c r="T20" i="122"/>
  <c r="Q20" i="122"/>
  <c r="O20" i="122"/>
  <c r="M20" i="122"/>
  <c r="L20" i="122"/>
  <c r="K20" i="122"/>
  <c r="I20" i="122"/>
  <c r="G20" i="122"/>
  <c r="F20" i="122"/>
  <c r="H18" i="122"/>
  <c r="D17" i="122"/>
  <c r="T16" i="122"/>
  <c r="Q16" i="122"/>
  <c r="O16" i="122"/>
  <c r="N16" i="122"/>
  <c r="M16" i="122"/>
  <c r="L16" i="122"/>
  <c r="K16" i="122"/>
  <c r="I16" i="122"/>
  <c r="G16" i="122"/>
  <c r="F16" i="122"/>
  <c r="P138" i="122" l="1"/>
  <c r="C204" i="122"/>
  <c r="D157" i="122"/>
  <c r="D55" i="78"/>
  <c r="H22" i="80"/>
  <c r="D21" i="78" s="1"/>
  <c r="D43" i="78"/>
  <c r="P204" i="122"/>
  <c r="Q15" i="122"/>
  <c r="P101" i="122"/>
  <c r="T15" i="122"/>
  <c r="C99" i="122"/>
  <c r="H151" i="122"/>
  <c r="H21" i="122"/>
  <c r="H139" i="122"/>
  <c r="K14" i="122"/>
  <c r="E89" i="122"/>
  <c r="H20" i="122"/>
  <c r="F53" i="122"/>
  <c r="L14" i="122"/>
  <c r="I53" i="122"/>
  <c r="M14" i="122"/>
  <c r="G54" i="122"/>
  <c r="I54" i="122"/>
  <c r="O14" i="122"/>
  <c r="Q14" i="122"/>
  <c r="T14" i="122"/>
  <c r="O53" i="122"/>
  <c r="K15" i="122"/>
  <c r="L15" i="122"/>
  <c r="D123" i="122"/>
  <c r="D112" i="122"/>
  <c r="D111" i="122" s="1"/>
  <c r="M15" i="122"/>
  <c r="L54" i="122"/>
  <c r="O54" i="122"/>
  <c r="C110" i="122"/>
  <c r="R110" i="122" s="1"/>
  <c r="S110" i="122" s="1"/>
  <c r="C107" i="122"/>
  <c r="R107" i="122" s="1"/>
  <c r="S107" i="122" s="1"/>
  <c r="D20" i="122"/>
  <c r="C97" i="122"/>
  <c r="Q64" i="122"/>
  <c r="C190" i="122"/>
  <c r="R190" i="122" s="1"/>
  <c r="S190" i="122" s="1"/>
  <c r="G111" i="122"/>
  <c r="C143" i="122"/>
  <c r="R143" i="122" s="1"/>
  <c r="G33" i="122"/>
  <c r="H57" i="122"/>
  <c r="C175" i="122"/>
  <c r="R175" i="122" s="1"/>
  <c r="C18" i="122"/>
  <c r="R18" i="122" s="1"/>
  <c r="I33" i="122"/>
  <c r="C59" i="122"/>
  <c r="R59" i="122" s="1"/>
  <c r="H84" i="122"/>
  <c r="H78" i="122" s="1"/>
  <c r="H75" i="122" s="1"/>
  <c r="G92" i="122"/>
  <c r="H60" i="122"/>
  <c r="C60" i="122" s="1"/>
  <c r="R60" i="122" s="1"/>
  <c r="C172" i="122"/>
  <c r="R172" i="122" s="1"/>
  <c r="I111" i="122"/>
  <c r="C180" i="122"/>
  <c r="R180" i="122" s="1"/>
  <c r="N111" i="122"/>
  <c r="C158" i="122"/>
  <c r="R158" i="122" s="1"/>
  <c r="C164" i="122"/>
  <c r="R164" i="122" s="1"/>
  <c r="T164" i="122" s="1"/>
  <c r="L33" i="122"/>
  <c r="D24" i="122"/>
  <c r="D21" i="122" s="1"/>
  <c r="C144" i="122"/>
  <c r="R144" i="122" s="1"/>
  <c r="C184" i="122"/>
  <c r="R184" i="122" s="1"/>
  <c r="C127" i="122"/>
  <c r="R127" i="122" s="1"/>
  <c r="S127" i="122" s="1"/>
  <c r="C152" i="122"/>
  <c r="C160" i="122"/>
  <c r="R160" i="122" s="1"/>
  <c r="T160" i="122" s="1"/>
  <c r="C185" i="122"/>
  <c r="R185" i="122" s="1"/>
  <c r="S185" i="122" s="1"/>
  <c r="T149" i="122"/>
  <c r="T148" i="122" s="1"/>
  <c r="R148" i="122"/>
  <c r="T33" i="122"/>
  <c r="J111" i="122"/>
  <c r="C100" i="122"/>
  <c r="R100" i="122" s="1"/>
  <c r="R94" i="122" s="1"/>
  <c r="C118" i="122"/>
  <c r="R118" i="122" s="1"/>
  <c r="S118" i="122" s="1"/>
  <c r="S117" i="122" s="1"/>
  <c r="P78" i="122"/>
  <c r="P75" i="122" s="1"/>
  <c r="I19" i="122"/>
  <c r="M58" i="122"/>
  <c r="P30" i="122"/>
  <c r="P29" i="122" s="1"/>
  <c r="H72" i="122"/>
  <c r="H66" i="122" s="1"/>
  <c r="C179" i="122"/>
  <c r="R179" i="122" s="1"/>
  <c r="J55" i="122"/>
  <c r="M138" i="122"/>
  <c r="F14" i="122"/>
  <c r="I14" i="122"/>
  <c r="M92" i="122"/>
  <c r="L91" i="122"/>
  <c r="F19" i="122"/>
  <c r="N91" i="122"/>
  <c r="C131" i="122"/>
  <c r="T131" i="122" s="1"/>
  <c r="C173" i="122"/>
  <c r="R173" i="122" s="1"/>
  <c r="C166" i="122"/>
  <c r="R166" i="122" s="1"/>
  <c r="T166" i="122" s="1"/>
  <c r="M19" i="122"/>
  <c r="H126" i="122"/>
  <c r="E22" i="122"/>
  <c r="G91" i="122"/>
  <c r="M90" i="122"/>
  <c r="E20" i="122"/>
  <c r="E19" i="122" s="1"/>
  <c r="Q33" i="122"/>
  <c r="C68" i="122"/>
  <c r="R68" i="122" s="1"/>
  <c r="C103" i="122"/>
  <c r="R103" i="122" s="1"/>
  <c r="R102" i="122" s="1"/>
  <c r="O91" i="122"/>
  <c r="Q19" i="122"/>
  <c r="I90" i="122"/>
  <c r="I91" i="122"/>
  <c r="J91" i="122"/>
  <c r="C181" i="122"/>
  <c r="R181" i="122" s="1"/>
  <c r="J101" i="122"/>
  <c r="T111" i="122"/>
  <c r="C119" i="122"/>
  <c r="C147" i="122"/>
  <c r="R147" i="122" s="1"/>
  <c r="S147" i="122" s="1"/>
  <c r="G150" i="122"/>
  <c r="I15" i="122"/>
  <c r="C125" i="122"/>
  <c r="R125" i="122" s="1"/>
  <c r="G14" i="122"/>
  <c r="H94" i="122"/>
  <c r="J138" i="122"/>
  <c r="H108" i="122"/>
  <c r="T52" i="122"/>
  <c r="T42" i="122" s="1"/>
  <c r="L101" i="122"/>
  <c r="K138" i="122"/>
  <c r="C121" i="122"/>
  <c r="R121" i="122" s="1"/>
  <c r="S121" i="122" s="1"/>
  <c r="S120" i="122" s="1"/>
  <c r="L138" i="122"/>
  <c r="C161" i="122"/>
  <c r="R161" i="122" s="1"/>
  <c r="T161" i="122" s="1"/>
  <c r="C174" i="122"/>
  <c r="R174" i="122" s="1"/>
  <c r="P16" i="122"/>
  <c r="P26" i="122"/>
  <c r="P25" i="122" s="1"/>
  <c r="C32" i="122"/>
  <c r="R32" i="122" s="1"/>
  <c r="C69" i="122"/>
  <c r="R69" i="122" s="1"/>
  <c r="C128" i="122"/>
  <c r="R128" i="122" s="1"/>
  <c r="H145" i="122"/>
  <c r="F150" i="122"/>
  <c r="H159" i="122"/>
  <c r="C159" i="122" s="1"/>
  <c r="R159" i="122" s="1"/>
  <c r="T159" i="122" s="1"/>
  <c r="C170" i="122"/>
  <c r="R170" i="122" s="1"/>
  <c r="T170" i="122" s="1"/>
  <c r="C177" i="122"/>
  <c r="R177" i="122" s="1"/>
  <c r="K19" i="122"/>
  <c r="C40" i="122"/>
  <c r="R40" i="122" s="1"/>
  <c r="O90" i="122"/>
  <c r="D94" i="122"/>
  <c r="D91" i="122" s="1"/>
  <c r="N138" i="122"/>
  <c r="C165" i="122"/>
  <c r="R165" i="122" s="1"/>
  <c r="L150" i="122"/>
  <c r="G15" i="122"/>
  <c r="E101" i="122"/>
  <c r="T101" i="122"/>
  <c r="O111" i="122"/>
  <c r="H123" i="122"/>
  <c r="C109" i="122"/>
  <c r="R109" i="122" s="1"/>
  <c r="S109" i="122" s="1"/>
  <c r="M64" i="122"/>
  <c r="C17" i="122"/>
  <c r="R17" i="122" s="1"/>
  <c r="C27" i="122"/>
  <c r="R27" i="122" s="1"/>
  <c r="S27" i="122" s="1"/>
  <c r="S26" i="122" s="1"/>
  <c r="S25" i="122" s="1"/>
  <c r="K33" i="122"/>
  <c r="E15" i="122"/>
  <c r="H56" i="122"/>
  <c r="E86" i="122"/>
  <c r="I92" i="122"/>
  <c r="G101" i="122"/>
  <c r="D105" i="122"/>
  <c r="D101" i="122" s="1"/>
  <c r="C189" i="122"/>
  <c r="E78" i="122"/>
  <c r="E75" i="122" s="1"/>
  <c r="D98" i="122"/>
  <c r="I101" i="122"/>
  <c r="M150" i="122"/>
  <c r="J26" i="122"/>
  <c r="J25" i="122" s="1"/>
  <c r="J35" i="122"/>
  <c r="J86" i="122"/>
  <c r="H86" i="122" s="1"/>
  <c r="O101" i="122"/>
  <c r="C146" i="122"/>
  <c r="R146" i="122" s="1"/>
  <c r="N150" i="122"/>
  <c r="O33" i="122"/>
  <c r="C182" i="122"/>
  <c r="R182" i="122" s="1"/>
  <c r="C187" i="122"/>
  <c r="R187" i="122" s="1"/>
  <c r="S187" i="122" s="1"/>
  <c r="F33" i="122"/>
  <c r="Q111" i="122"/>
  <c r="C163" i="122"/>
  <c r="R163" i="122" s="1"/>
  <c r="T163" i="122" s="1"/>
  <c r="C169" i="122"/>
  <c r="R169" i="122" s="1"/>
  <c r="T169" i="122" s="1"/>
  <c r="C124" i="122"/>
  <c r="R124" i="122" s="1"/>
  <c r="H132" i="122"/>
  <c r="C134" i="122"/>
  <c r="R134" i="122" s="1"/>
  <c r="S134" i="122" s="1"/>
  <c r="N33" i="122"/>
  <c r="I150" i="122"/>
  <c r="Q74" i="122"/>
  <c r="O92" i="122"/>
  <c r="H120" i="122"/>
  <c r="O64" i="122"/>
  <c r="Q54" i="122"/>
  <c r="F74" i="122"/>
  <c r="Q101" i="122"/>
  <c r="J34" i="122"/>
  <c r="J14" i="122" s="1"/>
  <c r="D53" i="122"/>
  <c r="F77" i="122"/>
  <c r="G90" i="122"/>
  <c r="J150" i="122"/>
  <c r="H129" i="122"/>
  <c r="C122" i="122"/>
  <c r="R122" i="122" s="1"/>
  <c r="Q77" i="122"/>
  <c r="J58" i="122"/>
  <c r="P58" i="122"/>
  <c r="P83" i="122"/>
  <c r="N101" i="122"/>
  <c r="C140" i="122"/>
  <c r="C96" i="122"/>
  <c r="I138" i="122"/>
  <c r="C188" i="122"/>
  <c r="D16" i="122"/>
  <c r="F90" i="122"/>
  <c r="H98" i="122"/>
  <c r="G138" i="122"/>
  <c r="J39" i="122"/>
  <c r="H39" i="122" s="1"/>
  <c r="G19" i="122"/>
  <c r="E79" i="122"/>
  <c r="E76" i="122" s="1"/>
  <c r="D87" i="122"/>
  <c r="H102" i="122"/>
  <c r="C102" i="122" s="1"/>
  <c r="C141" i="122"/>
  <c r="R141" i="122" s="1"/>
  <c r="H142" i="122"/>
  <c r="C186" i="122"/>
  <c r="R186" i="122" s="1"/>
  <c r="T186" i="122" s="1"/>
  <c r="C191" i="122"/>
  <c r="J92" i="122"/>
  <c r="J90" i="122"/>
  <c r="N76" i="122"/>
  <c r="N74" i="122" s="1"/>
  <c r="N77" i="122"/>
  <c r="D132" i="122"/>
  <c r="C133" i="122"/>
  <c r="R133" i="122" s="1"/>
  <c r="T19" i="122"/>
  <c r="C28" i="122"/>
  <c r="R28" i="122" s="1"/>
  <c r="M33" i="122"/>
  <c r="F64" i="122"/>
  <c r="D37" i="122"/>
  <c r="D34" i="122" s="1"/>
  <c r="E36" i="122"/>
  <c r="F15" i="122"/>
  <c r="K64" i="122"/>
  <c r="H80" i="122"/>
  <c r="P92" i="122"/>
  <c r="N70" i="122"/>
  <c r="H71" i="122"/>
  <c r="H65" i="122" s="1"/>
  <c r="N64" i="122"/>
  <c r="L77" i="122"/>
  <c r="L76" i="122"/>
  <c r="L74" i="122" s="1"/>
  <c r="M111" i="122"/>
  <c r="M91" i="122"/>
  <c r="P34" i="122"/>
  <c r="P36" i="122"/>
  <c r="I64" i="122"/>
  <c r="H93" i="122"/>
  <c r="Q92" i="122"/>
  <c r="K74" i="122"/>
  <c r="E16" i="122"/>
  <c r="J83" i="122"/>
  <c r="J78" i="122"/>
  <c r="M78" i="122"/>
  <c r="M83" i="122"/>
  <c r="N95" i="122"/>
  <c r="H95" i="122" s="1"/>
  <c r="N93" i="122"/>
  <c r="J64" i="122"/>
  <c r="E92" i="122"/>
  <c r="H105" i="122"/>
  <c r="C106" i="122"/>
  <c r="R106" i="122" s="1"/>
  <c r="H113" i="122"/>
  <c r="K91" i="122"/>
  <c r="R38" i="122"/>
  <c r="P64" i="122"/>
  <c r="C136" i="122"/>
  <c r="R136" i="122" s="1"/>
  <c r="P79" i="122"/>
  <c r="P76" i="122" s="1"/>
  <c r="H85" i="122"/>
  <c r="C85" i="122" s="1"/>
  <c r="R85" i="122" s="1"/>
  <c r="S85" i="122" s="1"/>
  <c r="C88" i="122"/>
  <c r="R88" i="122" s="1"/>
  <c r="S88" i="122" s="1"/>
  <c r="C116" i="122"/>
  <c r="T138" i="122"/>
  <c r="H162" i="122"/>
  <c r="C183" i="122"/>
  <c r="R183" i="122" s="1"/>
  <c r="C130" i="122"/>
  <c r="L19" i="122"/>
  <c r="D39" i="122"/>
  <c r="E39" i="122"/>
  <c r="J22" i="122"/>
  <c r="J30" i="122"/>
  <c r="J29" i="122" s="1"/>
  <c r="H114" i="122"/>
  <c r="C82" i="122"/>
  <c r="D79" i="122"/>
  <c r="D76" i="122" s="1"/>
  <c r="C115" i="122"/>
  <c r="D114" i="122"/>
  <c r="J16" i="122"/>
  <c r="H16" i="122" s="1"/>
  <c r="O19" i="122"/>
  <c r="P35" i="122"/>
  <c r="P15" i="122" s="1"/>
  <c r="P39" i="122"/>
  <c r="K77" i="122"/>
  <c r="H112" i="122"/>
  <c r="K111" i="122"/>
  <c r="H135" i="122"/>
  <c r="D58" i="122"/>
  <c r="G64" i="122"/>
  <c r="J76" i="122"/>
  <c r="T92" i="122"/>
  <c r="T90" i="122"/>
  <c r="D93" i="122"/>
  <c r="F111" i="122"/>
  <c r="L111" i="122"/>
  <c r="F138" i="122"/>
  <c r="G77" i="122"/>
  <c r="G75" i="122"/>
  <c r="G74" i="122" s="1"/>
  <c r="T77" i="122"/>
  <c r="T75" i="122"/>
  <c r="T74" i="122" s="1"/>
  <c r="K92" i="122"/>
  <c r="K90" i="122"/>
  <c r="L64" i="122"/>
  <c r="F91" i="122"/>
  <c r="H117" i="122"/>
  <c r="C31" i="122"/>
  <c r="R31" i="122" s="1"/>
  <c r="S31" i="122" s="1"/>
  <c r="N55" i="122"/>
  <c r="L92" i="122"/>
  <c r="L90" i="122"/>
  <c r="O74" i="122"/>
  <c r="I77" i="122"/>
  <c r="I75" i="122"/>
  <c r="I74" i="122" s="1"/>
  <c r="P86" i="122"/>
  <c r="K101" i="122"/>
  <c r="P22" i="122"/>
  <c r="J36" i="122"/>
  <c r="H36" i="122" s="1"/>
  <c r="D83" i="122"/>
  <c r="M101" i="122"/>
  <c r="O138" i="122"/>
  <c r="H67" i="122"/>
  <c r="O77" i="122"/>
  <c r="E83" i="122"/>
  <c r="F92" i="122"/>
  <c r="C178" i="122"/>
  <c r="P20" i="122"/>
  <c r="C25" i="80"/>
  <c r="C24" i="80"/>
  <c r="F23" i="80"/>
  <c r="C23" i="80"/>
  <c r="K22" i="80" l="1"/>
  <c r="H157" i="122"/>
  <c r="H150" i="122" s="1"/>
  <c r="H20" i="80"/>
  <c r="C139" i="122"/>
  <c r="P74" i="122"/>
  <c r="O52" i="122"/>
  <c r="I52" i="122"/>
  <c r="C56" i="122"/>
  <c r="H53" i="122"/>
  <c r="D90" i="122"/>
  <c r="D89" i="122" s="1"/>
  <c r="R58" i="122"/>
  <c r="S17" i="122"/>
  <c r="P14" i="122"/>
  <c r="P13" i="122" s="1"/>
  <c r="Q89" i="122"/>
  <c r="Q73" i="122" s="1"/>
  <c r="H35" i="122"/>
  <c r="J15" i="122"/>
  <c r="S18" i="122"/>
  <c r="C57" i="122"/>
  <c r="H54" i="122"/>
  <c r="S60" i="122"/>
  <c r="E52" i="122"/>
  <c r="D22" i="122"/>
  <c r="D14" i="122"/>
  <c r="G52" i="122"/>
  <c r="F52" i="122"/>
  <c r="D19" i="122"/>
  <c r="D15" i="122"/>
  <c r="L52" i="122"/>
  <c r="L42" i="122" s="1"/>
  <c r="C84" i="122"/>
  <c r="R84" i="122" s="1"/>
  <c r="Q52" i="122"/>
  <c r="K52" i="122"/>
  <c r="R204" i="122"/>
  <c r="R188" i="122"/>
  <c r="S188" i="122" s="1"/>
  <c r="S157" i="122" s="1"/>
  <c r="R189" i="122"/>
  <c r="T189" i="122" s="1"/>
  <c r="M52" i="122"/>
  <c r="C95" i="122"/>
  <c r="G13" i="122"/>
  <c r="G12" i="122" s="1"/>
  <c r="P178" i="122"/>
  <c r="P157" i="122" s="1"/>
  <c r="C142" i="122"/>
  <c r="M13" i="122"/>
  <c r="M12" i="122" s="1"/>
  <c r="H58" i="122"/>
  <c r="I13" i="122"/>
  <c r="I12" i="122" s="1"/>
  <c r="K13" i="122"/>
  <c r="K12" i="122" s="1"/>
  <c r="L13" i="122"/>
  <c r="L12" i="122" s="1"/>
  <c r="L89" i="122"/>
  <c r="L73" i="122" s="1"/>
  <c r="R131" i="122"/>
  <c r="F13" i="122"/>
  <c r="F12" i="122" s="1"/>
  <c r="G89" i="122"/>
  <c r="G73" i="122" s="1"/>
  <c r="C94" i="122"/>
  <c r="C117" i="122"/>
  <c r="S108" i="122"/>
  <c r="S103" i="122"/>
  <c r="S102" i="122" s="1"/>
  <c r="J33" i="122"/>
  <c r="H33" i="122" s="1"/>
  <c r="C72" i="122"/>
  <c r="R72" i="122" s="1"/>
  <c r="S72" i="122" s="1"/>
  <c r="K89" i="122"/>
  <c r="K73" i="122" s="1"/>
  <c r="P52" i="122"/>
  <c r="H36" i="80" s="1"/>
  <c r="J89" i="122"/>
  <c r="H138" i="122"/>
  <c r="O89" i="122"/>
  <c r="O73" i="122" s="1"/>
  <c r="F89" i="122"/>
  <c r="F73" i="122" s="1"/>
  <c r="R108" i="122"/>
  <c r="E74" i="122"/>
  <c r="R120" i="122"/>
  <c r="H55" i="122"/>
  <c r="M89" i="122"/>
  <c r="R26" i="122"/>
  <c r="R25" i="122" s="1"/>
  <c r="R119" i="122"/>
  <c r="R117" i="122" s="1"/>
  <c r="H91" i="122"/>
  <c r="E33" i="122"/>
  <c r="I89" i="122"/>
  <c r="I73" i="122" s="1"/>
  <c r="H26" i="122"/>
  <c r="H25" i="122" s="1"/>
  <c r="C108" i="122"/>
  <c r="R140" i="122"/>
  <c r="S140" i="122" s="1"/>
  <c r="S139" i="122" s="1"/>
  <c r="O13" i="122"/>
  <c r="O12" i="122" s="1"/>
  <c r="C93" i="122"/>
  <c r="R16" i="122"/>
  <c r="C67" i="122"/>
  <c r="C126" i="122"/>
  <c r="C16" i="122"/>
  <c r="C145" i="122"/>
  <c r="P77" i="122"/>
  <c r="T13" i="122"/>
  <c r="T12" i="122" s="1"/>
  <c r="Q13" i="122"/>
  <c r="Q12" i="122" s="1"/>
  <c r="H101" i="122"/>
  <c r="H111" i="122"/>
  <c r="J52" i="122"/>
  <c r="H34" i="122"/>
  <c r="C123" i="122"/>
  <c r="D78" i="122"/>
  <c r="C81" i="122"/>
  <c r="C120" i="122"/>
  <c r="C132" i="122"/>
  <c r="C135" i="122"/>
  <c r="E77" i="122"/>
  <c r="C105" i="122"/>
  <c r="C101" i="122" s="1"/>
  <c r="D86" i="122"/>
  <c r="C87" i="122"/>
  <c r="R87" i="122" s="1"/>
  <c r="R86" i="122" s="1"/>
  <c r="S40" i="122"/>
  <c r="S69" i="122"/>
  <c r="R135" i="122"/>
  <c r="S136" i="122"/>
  <c r="S135" i="122" s="1"/>
  <c r="J77" i="122"/>
  <c r="J75" i="122"/>
  <c r="J74" i="122" s="1"/>
  <c r="E38" i="80" s="1"/>
  <c r="T158" i="122"/>
  <c r="R105" i="122"/>
  <c r="R101" i="122" s="1"/>
  <c r="S106" i="122"/>
  <c r="S105" i="122" s="1"/>
  <c r="H90" i="122"/>
  <c r="C23" i="122"/>
  <c r="C129" i="122"/>
  <c r="R130" i="122"/>
  <c r="R152" i="122"/>
  <c r="H30" i="122"/>
  <c r="H29" i="122" s="1"/>
  <c r="J19" i="122"/>
  <c r="H19" i="122" s="1"/>
  <c r="S133" i="122"/>
  <c r="S132" i="122" s="1"/>
  <c r="R132" i="122"/>
  <c r="D92" i="122"/>
  <c r="T129" i="122"/>
  <c r="T91" i="122"/>
  <c r="T89" i="122" s="1"/>
  <c r="T73" i="122" s="1"/>
  <c r="H83" i="122"/>
  <c r="R67" i="122"/>
  <c r="S68" i="122"/>
  <c r="H79" i="122"/>
  <c r="H76" i="122" s="1"/>
  <c r="C71" i="122"/>
  <c r="H70" i="122"/>
  <c r="R30" i="122"/>
  <c r="C30" i="122"/>
  <c r="C29" i="122" s="1"/>
  <c r="C79" i="122"/>
  <c r="C76" i="122" s="1"/>
  <c r="C37" i="122"/>
  <c r="D36" i="122"/>
  <c r="C36" i="122" s="1"/>
  <c r="P111" i="122"/>
  <c r="N22" i="122"/>
  <c r="H22" i="122" s="1"/>
  <c r="C41" i="122"/>
  <c r="C98" i="122"/>
  <c r="R99" i="122"/>
  <c r="R142" i="122"/>
  <c r="S143" i="122"/>
  <c r="S142" i="122" s="1"/>
  <c r="C114" i="122"/>
  <c r="C112" i="122"/>
  <c r="R115" i="122"/>
  <c r="P19" i="122"/>
  <c r="E14" i="122"/>
  <c r="E13" i="122" s="1"/>
  <c r="E12" i="122" s="1"/>
  <c r="C162" i="122"/>
  <c r="C157" i="122" s="1"/>
  <c r="S146" i="122"/>
  <c r="S145" i="122" s="1"/>
  <c r="R145" i="122"/>
  <c r="N92" i="122"/>
  <c r="H92" i="122" s="1"/>
  <c r="N90" i="122"/>
  <c r="N89" i="122" s="1"/>
  <c r="N73" i="122" s="1"/>
  <c r="D52" i="122"/>
  <c r="M75" i="122"/>
  <c r="M74" i="122" s="1"/>
  <c r="M77" i="122"/>
  <c r="C58" i="122"/>
  <c r="C113" i="122"/>
  <c r="R116" i="122"/>
  <c r="S124" i="122"/>
  <c r="S123" i="122" s="1"/>
  <c r="R123" i="122"/>
  <c r="P33" i="122"/>
  <c r="S128" i="122"/>
  <c r="S126" i="122" s="1"/>
  <c r="R126" i="122"/>
  <c r="P73" i="122" l="1"/>
  <c r="H38" i="80"/>
  <c r="P12" i="122"/>
  <c r="H33" i="80"/>
  <c r="H9" i="80"/>
  <c r="D19" i="78"/>
  <c r="D8" i="78" s="1"/>
  <c r="C138" i="122"/>
  <c r="J42" i="122"/>
  <c r="E36" i="80"/>
  <c r="H66" i="80"/>
  <c r="C90" i="122"/>
  <c r="C91" i="122"/>
  <c r="K42" i="122"/>
  <c r="K11" i="122" s="1"/>
  <c r="K10" i="122" s="1"/>
  <c r="I42" i="122"/>
  <c r="I11" i="122" s="1"/>
  <c r="I10" i="122" s="1"/>
  <c r="Q42" i="122"/>
  <c r="Q11" i="122" s="1"/>
  <c r="Q10" i="122" s="1"/>
  <c r="O42" i="122"/>
  <c r="O11" i="122" s="1"/>
  <c r="O10" i="122" s="1"/>
  <c r="C55" i="122"/>
  <c r="P42" i="122"/>
  <c r="S16" i="122"/>
  <c r="M42" i="122"/>
  <c r="E42" i="122"/>
  <c r="R29" i="122"/>
  <c r="S30" i="122"/>
  <c r="S29" i="122" s="1"/>
  <c r="G42" i="122"/>
  <c r="G11" i="122" s="1"/>
  <c r="G10" i="122" s="1"/>
  <c r="F42" i="122"/>
  <c r="F11" i="122" s="1"/>
  <c r="F10" i="122" s="1"/>
  <c r="C83" i="122"/>
  <c r="N52" i="122"/>
  <c r="P150" i="122"/>
  <c r="T11" i="122"/>
  <c r="L11" i="122"/>
  <c r="L10" i="122" s="1"/>
  <c r="R66" i="122"/>
  <c r="R54" i="122" s="1"/>
  <c r="S66" i="122"/>
  <c r="S54" i="122" s="1"/>
  <c r="J13" i="122"/>
  <c r="J12" i="122" s="1"/>
  <c r="M73" i="122"/>
  <c r="J73" i="122"/>
  <c r="R178" i="122"/>
  <c r="T151" i="122"/>
  <c r="C66" i="122"/>
  <c r="C54" i="122" s="1"/>
  <c r="R129" i="122"/>
  <c r="R139" i="122"/>
  <c r="R138" i="122" s="1"/>
  <c r="C92" i="122"/>
  <c r="E73" i="122"/>
  <c r="H89" i="122"/>
  <c r="E39" i="80" s="1"/>
  <c r="P11" i="122"/>
  <c r="S138" i="122"/>
  <c r="C26" i="122"/>
  <c r="C25" i="122" s="1"/>
  <c r="S87" i="122"/>
  <c r="S86" i="122" s="1"/>
  <c r="C86" i="122"/>
  <c r="C80" i="122"/>
  <c r="C78" i="122"/>
  <c r="H77" i="122"/>
  <c r="D75" i="122"/>
  <c r="D74" i="122" s="1"/>
  <c r="D73" i="122" s="1"/>
  <c r="D77" i="122"/>
  <c r="H14" i="122"/>
  <c r="R23" i="122"/>
  <c r="C20" i="122"/>
  <c r="H15" i="122"/>
  <c r="C24" i="122"/>
  <c r="R114" i="122"/>
  <c r="S115" i="122"/>
  <c r="R112" i="122"/>
  <c r="C111" i="122"/>
  <c r="S67" i="122"/>
  <c r="S84" i="122"/>
  <c r="S83" i="122" s="1"/>
  <c r="R83" i="122"/>
  <c r="N13" i="122"/>
  <c r="N12" i="122" s="1"/>
  <c r="R162" i="122"/>
  <c r="R113" i="122"/>
  <c r="R91" i="122" s="1"/>
  <c r="S116" i="122"/>
  <c r="S113" i="122" s="1"/>
  <c r="S91" i="122" s="1"/>
  <c r="R93" i="122"/>
  <c r="R98" i="122"/>
  <c r="S99" i="122"/>
  <c r="H64" i="122"/>
  <c r="D33" i="122"/>
  <c r="D13" i="122"/>
  <c r="D12" i="122" s="1"/>
  <c r="C70" i="122"/>
  <c r="R71" i="122"/>
  <c r="C65" i="122"/>
  <c r="C53" i="122" s="1"/>
  <c r="C34" i="122"/>
  <c r="R37" i="122"/>
  <c r="H74" i="122"/>
  <c r="R41" i="122"/>
  <c r="C39" i="122"/>
  <c r="C35" i="122"/>
  <c r="S79" i="122"/>
  <c r="S76" i="122" s="1"/>
  <c r="R79" i="122"/>
  <c r="R76" i="122" s="1"/>
  <c r="S101" i="122"/>
  <c r="S59" i="122"/>
  <c r="R157" i="122" l="1"/>
  <c r="D63" i="78"/>
  <c r="H45" i="80"/>
  <c r="D21" i="75"/>
  <c r="D19" i="75" s="1"/>
  <c r="L11" i="178"/>
  <c r="P10" i="122"/>
  <c r="M11" i="122"/>
  <c r="M10" i="122" s="1"/>
  <c r="E11" i="122"/>
  <c r="N42" i="122"/>
  <c r="N11" i="122" s="1"/>
  <c r="N10" i="122" s="1"/>
  <c r="H52" i="122"/>
  <c r="C89" i="122"/>
  <c r="H73" i="122"/>
  <c r="H13" i="122"/>
  <c r="E33" i="80" s="1"/>
  <c r="E31" i="80" s="1"/>
  <c r="C77" i="122"/>
  <c r="C75" i="122"/>
  <c r="C74" i="122" s="1"/>
  <c r="R78" i="122"/>
  <c r="S58" i="122"/>
  <c r="R111" i="122"/>
  <c r="S114" i="122"/>
  <c r="S112" i="122"/>
  <c r="S111" i="122" s="1"/>
  <c r="J11" i="122"/>
  <c r="J10" i="122" s="1"/>
  <c r="H12" i="122"/>
  <c r="R36" i="122"/>
  <c r="S36" i="122" s="1"/>
  <c r="S37" i="122"/>
  <c r="S34" i="122" s="1"/>
  <c r="R34" i="122"/>
  <c r="S93" i="122"/>
  <c r="S98" i="122"/>
  <c r="R24" i="122"/>
  <c r="R22" i="122" s="1"/>
  <c r="C21" i="122"/>
  <c r="C15" i="122" s="1"/>
  <c r="C33" i="122"/>
  <c r="R92" i="122"/>
  <c r="R90" i="122"/>
  <c r="R89" i="122" s="1"/>
  <c r="C64" i="122"/>
  <c r="C22" i="122"/>
  <c r="S71" i="122"/>
  <c r="R70" i="122"/>
  <c r="R65" i="122"/>
  <c r="C14" i="122"/>
  <c r="S23" i="122"/>
  <c r="R20" i="122"/>
  <c r="S41" i="122"/>
  <c r="R39" i="122"/>
  <c r="R35" i="122"/>
  <c r="C73" i="122" l="1"/>
  <c r="H42" i="122"/>
  <c r="H11" i="122" s="1"/>
  <c r="H10" i="122" s="1"/>
  <c r="R14" i="122"/>
  <c r="D42" i="122"/>
  <c r="D11" i="122" s="1"/>
  <c r="C52" i="122"/>
  <c r="C42" i="122" s="1"/>
  <c r="T162" i="122"/>
  <c r="T157" i="122" s="1"/>
  <c r="C13" i="122"/>
  <c r="C12" i="122" s="1"/>
  <c r="R33" i="122"/>
  <c r="C19" i="122"/>
  <c r="S78" i="122"/>
  <c r="R77" i="122"/>
  <c r="R75" i="122"/>
  <c r="R74" i="122" s="1"/>
  <c r="R73" i="122" s="1"/>
  <c r="S20" i="122"/>
  <c r="S14" i="122" s="1"/>
  <c r="S24" i="122"/>
  <c r="S21" i="122" s="1"/>
  <c r="R21" i="122"/>
  <c r="R15" i="122" s="1"/>
  <c r="R64" i="122"/>
  <c r="R53" i="122"/>
  <c r="S70" i="122"/>
  <c r="S65" i="122"/>
  <c r="S90" i="122"/>
  <c r="S89" i="122" s="1"/>
  <c r="S92" i="122"/>
  <c r="S35" i="122"/>
  <c r="S33" i="122" s="1"/>
  <c r="S39" i="122"/>
  <c r="S15" i="122" l="1"/>
  <c r="C11" i="122"/>
  <c r="R52" i="122"/>
  <c r="R19" i="122"/>
  <c r="S77" i="122"/>
  <c r="S75" i="122"/>
  <c r="S74" i="122" s="1"/>
  <c r="S73" i="122" s="1"/>
  <c r="R13" i="122"/>
  <c r="R12" i="122" s="1"/>
  <c r="S22" i="122"/>
  <c r="S19" i="122"/>
  <c r="S64" i="122"/>
  <c r="S53" i="122"/>
  <c r="T150" i="122" l="1"/>
  <c r="T10" i="122" s="1"/>
  <c r="R42" i="122"/>
  <c r="R11" i="122" s="1"/>
  <c r="S13" i="122"/>
  <c r="S12" i="122" s="1"/>
  <c r="S52" i="122"/>
  <c r="S42" i="122"/>
  <c r="S11" i="122" l="1"/>
  <c r="C14" i="80"/>
  <c r="C11" i="80"/>
  <c r="C12" i="79" s="1"/>
  <c r="E12" i="79" s="1"/>
  <c r="D8" i="84" l="1"/>
  <c r="E8" i="84"/>
  <c r="F21" i="84"/>
  <c r="C10" i="84"/>
  <c r="L30" i="85" l="1"/>
  <c r="A31" i="85"/>
  <c r="B31" i="85"/>
  <c r="A27" i="85"/>
  <c r="B27" i="85"/>
  <c r="A28" i="85"/>
  <c r="B28" i="85"/>
  <c r="A29" i="85"/>
  <c r="B29" i="85"/>
  <c r="A30" i="85"/>
  <c r="B30" i="85"/>
  <c r="B26" i="85"/>
  <c r="A26" i="85"/>
  <c r="M13" i="85"/>
  <c r="Q13" i="85"/>
  <c r="Q19" i="85"/>
  <c r="P12" i="85"/>
  <c r="P13" i="85"/>
  <c r="P16" i="85"/>
  <c r="P11" i="85"/>
  <c r="P10" i="85" s="1"/>
  <c r="H13" i="85"/>
  <c r="H16" i="85"/>
  <c r="H11" i="85"/>
  <c r="E12" i="85"/>
  <c r="E13" i="85"/>
  <c r="E16" i="85"/>
  <c r="D12" i="85"/>
  <c r="D23" i="85"/>
  <c r="J17" i="84"/>
  <c r="H10" i="84"/>
  <c r="I10" i="84" s="1"/>
  <c r="K10" i="84" s="1"/>
  <c r="H12" i="84"/>
  <c r="H13" i="84"/>
  <c r="H14" i="84"/>
  <c r="H15" i="84"/>
  <c r="H16" i="84"/>
  <c r="H18" i="84"/>
  <c r="H19" i="84"/>
  <c r="H20" i="84"/>
  <c r="H22" i="84"/>
  <c r="I22" i="84" s="1"/>
  <c r="K22" i="84" s="1"/>
  <c r="H23" i="84"/>
  <c r="I23" i="84" s="1"/>
  <c r="K23" i="84" s="1"/>
  <c r="H9" i="84"/>
  <c r="C21" i="84"/>
  <c r="C11" i="84"/>
  <c r="F11" i="84" s="1"/>
  <c r="C12" i="84"/>
  <c r="C13" i="84"/>
  <c r="F13" i="84" s="1"/>
  <c r="C14" i="84"/>
  <c r="C15" i="84"/>
  <c r="F15" i="84" s="1"/>
  <c r="C16" i="84"/>
  <c r="F16" i="84" s="1"/>
  <c r="C17" i="84"/>
  <c r="F17" i="84" s="1"/>
  <c r="C18" i="84"/>
  <c r="C19" i="84"/>
  <c r="C20" i="84"/>
  <c r="C9" i="84"/>
  <c r="B23" i="84"/>
  <c r="B25" i="85" s="1"/>
  <c r="B10" i="84"/>
  <c r="B12" i="85" s="1"/>
  <c r="B11" i="84"/>
  <c r="B13" i="85" s="1"/>
  <c r="B12" i="84"/>
  <c r="B14" i="85" s="1"/>
  <c r="B13" i="84"/>
  <c r="B15" i="85" s="1"/>
  <c r="B14" i="84"/>
  <c r="B16" i="85" s="1"/>
  <c r="B15" i="84"/>
  <c r="B17" i="85" s="1"/>
  <c r="B16" i="84"/>
  <c r="B18" i="85" s="1"/>
  <c r="B17" i="84"/>
  <c r="B19" i="85" s="1"/>
  <c r="B18" i="84"/>
  <c r="B20" i="85" s="1"/>
  <c r="B19" i="84"/>
  <c r="B21" i="85" s="1"/>
  <c r="B20" i="84"/>
  <c r="B22" i="85" s="1"/>
  <c r="B21" i="84"/>
  <c r="B23" i="85" s="1"/>
  <c r="B22" i="84"/>
  <c r="B24" i="85" s="1"/>
  <c r="B9" i="84"/>
  <c r="B11" i="85" s="1"/>
  <c r="H12" i="81"/>
  <c r="H12" i="85" s="1"/>
  <c r="J12" i="81"/>
  <c r="J12" i="85" s="1"/>
  <c r="J10" i="85" s="1"/>
  <c r="D12" i="81"/>
  <c r="D10" i="81" s="1"/>
  <c r="D9" i="81" s="1"/>
  <c r="N10" i="81"/>
  <c r="N9" i="81" s="1"/>
  <c r="O10" i="81"/>
  <c r="R13" i="81"/>
  <c r="E11" i="81"/>
  <c r="K15" i="81"/>
  <c r="I15" i="81" s="1"/>
  <c r="I15" i="85" s="1"/>
  <c r="L15" i="85" s="1"/>
  <c r="E15" i="81"/>
  <c r="E15" i="85" s="1"/>
  <c r="K14" i="81"/>
  <c r="E14" i="81"/>
  <c r="E14" i="85" s="1"/>
  <c r="O31" i="81"/>
  <c r="I31" i="81" s="1"/>
  <c r="I31" i="85" s="1"/>
  <c r="K18" i="81"/>
  <c r="K19" i="81"/>
  <c r="K20" i="81"/>
  <c r="K21" i="81"/>
  <c r="K22" i="81"/>
  <c r="K24" i="81"/>
  <c r="K25" i="81"/>
  <c r="K17" i="81"/>
  <c r="D17" i="83"/>
  <c r="H17" i="84" s="1"/>
  <c r="I30" i="81"/>
  <c r="I30" i="85" s="1"/>
  <c r="E24" i="81"/>
  <c r="E24" i="85" s="1"/>
  <c r="E25" i="81"/>
  <c r="E25" i="85" s="1"/>
  <c r="E22" i="81"/>
  <c r="E22" i="85" s="1"/>
  <c r="F20" i="81"/>
  <c r="E18" i="81"/>
  <c r="E18" i="85" s="1"/>
  <c r="E19" i="81"/>
  <c r="E19" i="85" s="1"/>
  <c r="E20" i="81"/>
  <c r="E20" i="85" s="1"/>
  <c r="E21" i="81"/>
  <c r="E21" i="85" s="1"/>
  <c r="E17" i="81"/>
  <c r="E17" i="85" s="1"/>
  <c r="I14" i="84" l="1"/>
  <c r="K14" i="84" s="1"/>
  <c r="D10" i="85"/>
  <c r="H10" i="81"/>
  <c r="H9" i="81" s="1"/>
  <c r="Q31" i="85"/>
  <c r="I16" i="84"/>
  <c r="K16" i="84" s="1"/>
  <c r="I15" i="84"/>
  <c r="K15" i="84" s="1"/>
  <c r="I17" i="84"/>
  <c r="K17" i="84" s="1"/>
  <c r="Q10" i="85"/>
  <c r="I18" i="84"/>
  <c r="K18" i="84" s="1"/>
  <c r="F18" i="84"/>
  <c r="J10" i="81"/>
  <c r="J9" i="81" s="1"/>
  <c r="I20" i="84"/>
  <c r="K20" i="84" s="1"/>
  <c r="H10" i="85"/>
  <c r="E11" i="85"/>
  <c r="O9" i="81"/>
  <c r="I13" i="84"/>
  <c r="K13" i="84" s="1"/>
  <c r="I19" i="84"/>
  <c r="K19" i="84" s="1"/>
  <c r="F19" i="84"/>
  <c r="I9" i="84"/>
  <c r="C8" i="84"/>
  <c r="I12" i="84"/>
  <c r="K12" i="84" s="1"/>
  <c r="C20" i="81"/>
  <c r="C20" i="85" s="1"/>
  <c r="Q10" i="81" l="1"/>
  <c r="F8" i="84"/>
  <c r="K9" i="84"/>
  <c r="B12" i="81"/>
  <c r="B13" i="81"/>
  <c r="B14" i="81"/>
  <c r="B15" i="81"/>
  <c r="B16" i="81"/>
  <c r="B17" i="81"/>
  <c r="B18" i="81"/>
  <c r="B19" i="81"/>
  <c r="B20" i="81"/>
  <c r="B21" i="81"/>
  <c r="B22" i="81"/>
  <c r="B23" i="81"/>
  <c r="B24" i="81"/>
  <c r="B25" i="81"/>
  <c r="B11" i="81"/>
  <c r="U22" i="83" l="1"/>
  <c r="U23" i="83"/>
  <c r="D21" i="83"/>
  <c r="E21" i="83"/>
  <c r="F21" i="83"/>
  <c r="G21" i="83"/>
  <c r="H21" i="83"/>
  <c r="H8" i="83" s="1"/>
  <c r="I21" i="83"/>
  <c r="I8" i="83" s="1"/>
  <c r="J21" i="83"/>
  <c r="K21" i="83"/>
  <c r="K8" i="83" s="1"/>
  <c r="L21" i="83"/>
  <c r="L8" i="83" s="1"/>
  <c r="M21" i="83"/>
  <c r="N21" i="83"/>
  <c r="O21" i="83"/>
  <c r="P21" i="83"/>
  <c r="Q21" i="83"/>
  <c r="R21" i="83"/>
  <c r="S21" i="83"/>
  <c r="S8" i="83" s="1"/>
  <c r="C21" i="83"/>
  <c r="U20" i="83"/>
  <c r="R14" i="83"/>
  <c r="Q11" i="83"/>
  <c r="R11" i="83"/>
  <c r="J11" i="83"/>
  <c r="D11" i="83" s="1"/>
  <c r="H11" i="84" s="1"/>
  <c r="U12" i="83"/>
  <c r="P10" i="83"/>
  <c r="P8" i="83" s="1"/>
  <c r="O10" i="83"/>
  <c r="O8" i="83" s="1"/>
  <c r="Q10" i="83"/>
  <c r="N10" i="83"/>
  <c r="N8" i="83" s="1"/>
  <c r="M10" i="83"/>
  <c r="E10" i="83"/>
  <c r="U10" i="83"/>
  <c r="R9" i="83"/>
  <c r="Q9" i="83"/>
  <c r="G9" i="83"/>
  <c r="F9" i="83"/>
  <c r="U9" i="83"/>
  <c r="U16" i="83"/>
  <c r="U18" i="83"/>
  <c r="U19" i="83"/>
  <c r="I11" i="84" l="1"/>
  <c r="H21" i="84"/>
  <c r="I21" i="84" s="1"/>
  <c r="K21" i="84" s="1"/>
  <c r="K23" i="81"/>
  <c r="R8" i="83"/>
  <c r="M8" i="83"/>
  <c r="E23" i="81"/>
  <c r="E23" i="85" s="1"/>
  <c r="E10" i="85" s="1"/>
  <c r="C8" i="83"/>
  <c r="F8" i="83"/>
  <c r="J8" i="83"/>
  <c r="G8" i="83"/>
  <c r="U21" i="83"/>
  <c r="A1" i="83"/>
  <c r="H8" i="84" l="1"/>
  <c r="K11" i="84"/>
  <c r="I8" i="84"/>
  <c r="U11" i="83"/>
  <c r="F14" i="81"/>
  <c r="L14" i="81"/>
  <c r="I14" i="81" l="1"/>
  <c r="I14" i="85" s="1"/>
  <c r="L14" i="85" s="1"/>
  <c r="F9" i="82"/>
  <c r="G9" i="82"/>
  <c r="H9" i="82"/>
  <c r="I9" i="82"/>
  <c r="J9" i="82"/>
  <c r="K9" i="82"/>
  <c r="L9" i="82"/>
  <c r="M9" i="82"/>
  <c r="O9" i="82"/>
  <c r="P9" i="82"/>
  <c r="Q9" i="82"/>
  <c r="R9" i="82"/>
  <c r="S9" i="82"/>
  <c r="N10" i="82"/>
  <c r="D11" i="82"/>
  <c r="M12" i="81" s="1"/>
  <c r="C11" i="82"/>
  <c r="G12" i="81" s="1"/>
  <c r="T12" i="82"/>
  <c r="N14" i="82"/>
  <c r="E14" i="82" s="1"/>
  <c r="H13" i="80" s="1"/>
  <c r="D12" i="78" s="1"/>
  <c r="T15" i="82"/>
  <c r="C18" i="82"/>
  <c r="D18" i="82" s="1"/>
  <c r="T18" i="82" s="1"/>
  <c r="H9" i="87"/>
  <c r="G9" i="87"/>
  <c r="A1" i="87"/>
  <c r="O12" i="85" l="1"/>
  <c r="E9" i="82"/>
  <c r="K12" i="85"/>
  <c r="K10" i="85" s="1"/>
  <c r="G12" i="85"/>
  <c r="N9" i="82"/>
  <c r="D9" i="82"/>
  <c r="N14" i="133"/>
  <c r="N42" i="133" s="1"/>
  <c r="Q13" i="133"/>
  <c r="M14" i="133"/>
  <c r="J13" i="133"/>
  <c r="H14" i="133"/>
  <c r="N15" i="133"/>
  <c r="E15" i="133" s="1"/>
  <c r="M13" i="133"/>
  <c r="N13" i="133"/>
  <c r="H13" i="133"/>
  <c r="K13" i="133"/>
  <c r="E12" i="133" l="1"/>
  <c r="G11" i="133"/>
  <c r="H11" i="133"/>
  <c r="J11" i="133"/>
  <c r="K11" i="133"/>
  <c r="M11" i="133"/>
  <c r="N11" i="133"/>
  <c r="S11" i="133"/>
  <c r="T11" i="133"/>
  <c r="V11" i="133"/>
  <c r="W11" i="133"/>
  <c r="Y11" i="133"/>
  <c r="AA11" i="133"/>
  <c r="AI11" i="177"/>
  <c r="T11" i="177"/>
  <c r="U11" i="177"/>
  <c r="V11" i="177"/>
  <c r="W11" i="177"/>
  <c r="Y11" i="177"/>
  <c r="Z11" i="177"/>
  <c r="AA11" i="177"/>
  <c r="AB11" i="177"/>
  <c r="AC11" i="177"/>
  <c r="AD11" i="177"/>
  <c r="AE11" i="177"/>
  <c r="AG11" i="177"/>
  <c r="AH11" i="177"/>
  <c r="AJ11" i="177"/>
  <c r="AK11" i="177"/>
  <c r="AL11" i="177"/>
  <c r="AM11" i="177"/>
  <c r="AU11" i="177" s="1"/>
  <c r="H11" i="177"/>
  <c r="I11" i="177"/>
  <c r="J11" i="177"/>
  <c r="K11" i="177"/>
  <c r="L11" i="177"/>
  <c r="M11" i="177"/>
  <c r="N11" i="177"/>
  <c r="O11" i="177"/>
  <c r="P11" i="177"/>
  <c r="Q11" i="177"/>
  <c r="R11" i="177"/>
  <c r="S11" i="177"/>
  <c r="H19" i="177"/>
  <c r="I19" i="177"/>
  <c r="J19" i="177"/>
  <c r="K19" i="177"/>
  <c r="L19" i="177"/>
  <c r="M19" i="177"/>
  <c r="O19" i="177"/>
  <c r="P19" i="177"/>
  <c r="Q19" i="177"/>
  <c r="R19" i="177"/>
  <c r="T19" i="177"/>
  <c r="U19" i="177"/>
  <c r="V19" i="177"/>
  <c r="W19" i="177"/>
  <c r="Y19" i="177"/>
  <c r="Z19" i="177"/>
  <c r="AA19" i="177"/>
  <c r="AB19" i="177"/>
  <c r="AC19" i="177"/>
  <c r="AD19" i="177"/>
  <c r="AE19" i="177"/>
  <c r="AG19" i="177"/>
  <c r="AH19" i="177"/>
  <c r="AI19" i="177"/>
  <c r="AJ19" i="177"/>
  <c r="AR19" i="177" s="1"/>
  <c r="AK19" i="177"/>
  <c r="AL19" i="177"/>
  <c r="AT19" i="177" s="1"/>
  <c r="AM19" i="177"/>
  <c r="H54" i="177"/>
  <c r="I54" i="177"/>
  <c r="J54" i="177"/>
  <c r="K54" i="177"/>
  <c r="L54" i="177"/>
  <c r="M54" i="177"/>
  <c r="O54" i="177"/>
  <c r="P54" i="177"/>
  <c r="Q54" i="177"/>
  <c r="R54" i="177"/>
  <c r="T54" i="177"/>
  <c r="U54" i="177"/>
  <c r="V54" i="177"/>
  <c r="W54" i="177"/>
  <c r="Y54" i="177"/>
  <c r="Z54" i="177"/>
  <c r="AA54" i="177"/>
  <c r="AB54" i="177"/>
  <c r="AC54" i="177"/>
  <c r="AD54" i="177"/>
  <c r="AE54" i="177"/>
  <c r="AG54" i="177"/>
  <c r="AH54" i="177"/>
  <c r="AI54" i="177"/>
  <c r="AQ54" i="177" s="1"/>
  <c r="AJ54" i="177"/>
  <c r="AR54" i="177" s="1"/>
  <c r="AK54" i="177"/>
  <c r="AL54" i="177"/>
  <c r="AM54" i="177"/>
  <c r="X44" i="177"/>
  <c r="X45" i="177"/>
  <c r="X46" i="177"/>
  <c r="X47" i="177"/>
  <c r="X48" i="177"/>
  <c r="X49" i="177"/>
  <c r="X50" i="177"/>
  <c r="X51" i="177"/>
  <c r="X52" i="177"/>
  <c r="AF44" i="177"/>
  <c r="AF45" i="177"/>
  <c r="AF46" i="177"/>
  <c r="AF47" i="177"/>
  <c r="AN47" i="177" s="1"/>
  <c r="AF48" i="177"/>
  <c r="AN48" i="177" s="1"/>
  <c r="AF49" i="177"/>
  <c r="AF50" i="177"/>
  <c r="AF51" i="177"/>
  <c r="AF52" i="177"/>
  <c r="G44" i="177"/>
  <c r="G45" i="177"/>
  <c r="G46" i="177"/>
  <c r="G47" i="177"/>
  <c r="G48" i="177"/>
  <c r="G49" i="177"/>
  <c r="G50" i="177"/>
  <c r="G51" i="177"/>
  <c r="G52" i="177"/>
  <c r="G43" i="177"/>
  <c r="AC29" i="177"/>
  <c r="AC34" i="177"/>
  <c r="AS34" i="177" s="1"/>
  <c r="G42" i="177"/>
  <c r="X42" i="177"/>
  <c r="X43" i="177"/>
  <c r="X53" i="177"/>
  <c r="AF42" i="177"/>
  <c r="AF43" i="177"/>
  <c r="AF53" i="177"/>
  <c r="AN53" i="177" s="1"/>
  <c r="G53" i="177"/>
  <c r="AF22" i="177"/>
  <c r="G18" i="177"/>
  <c r="G17" i="177"/>
  <c r="G16" i="177"/>
  <c r="G15" i="177"/>
  <c r="G14" i="177"/>
  <c r="G22" i="177"/>
  <c r="G19" i="177" s="1"/>
  <c r="G28" i="177"/>
  <c r="AN52" i="177" l="1"/>
  <c r="AS29" i="177"/>
  <c r="AC23" i="177"/>
  <c r="AS23" i="177" s="1"/>
  <c r="AN51" i="177"/>
  <c r="Z10" i="177"/>
  <c r="AN50" i="177"/>
  <c r="AN49" i="177"/>
  <c r="AS11" i="177"/>
  <c r="AN43" i="177"/>
  <c r="AN46" i="177"/>
  <c r="AF19" i="177"/>
  <c r="AN19" i="177" s="1"/>
  <c r="AN22" i="177"/>
  <c r="AN42" i="177"/>
  <c r="AN45" i="177"/>
  <c r="AT54" i="177"/>
  <c r="AQ11" i="177"/>
  <c r="AN44" i="177"/>
  <c r="AS54" i="177"/>
  <c r="V10" i="177"/>
  <c r="AB10" i="177"/>
  <c r="AD10" i="177"/>
  <c r="U10" i="177"/>
  <c r="T10" i="177"/>
  <c r="L10" i="177"/>
  <c r="AE10" i="177"/>
  <c r="G11" i="177"/>
  <c r="P10" i="177"/>
  <c r="Q10" i="177"/>
  <c r="AL10" i="177"/>
  <c r="Y10" i="177"/>
  <c r="AA10" i="177"/>
  <c r="AM10" i="177"/>
  <c r="AU10" i="177" s="1"/>
  <c r="AC10" i="177"/>
  <c r="I10" i="177"/>
  <c r="H10" i="177"/>
  <c r="AK10" i="177"/>
  <c r="AJ10" i="177"/>
  <c r="K10" i="177"/>
  <c r="AH10" i="177"/>
  <c r="W10" i="177"/>
  <c r="R10" i="177"/>
  <c r="O10" i="177"/>
  <c r="J10" i="177"/>
  <c r="AG10" i="177"/>
  <c r="AI10" i="177"/>
  <c r="AF37" i="177"/>
  <c r="AN37" i="177" s="1"/>
  <c r="AF38" i="177"/>
  <c r="AN38" i="177" s="1"/>
  <c r="AF39" i="177"/>
  <c r="AF40" i="177"/>
  <c r="AF41" i="177"/>
  <c r="X37" i="177"/>
  <c r="X38" i="177"/>
  <c r="X39" i="177"/>
  <c r="X40" i="177"/>
  <c r="X41" i="177"/>
  <c r="G38" i="177"/>
  <c r="G39" i="177"/>
  <c r="G40" i="177"/>
  <c r="G41" i="177"/>
  <c r="G37" i="177"/>
  <c r="AF26" i="177"/>
  <c r="X26" i="177"/>
  <c r="M26" i="177"/>
  <c r="AF36" i="177"/>
  <c r="X36" i="177"/>
  <c r="AF15" i="177"/>
  <c r="AF16" i="177"/>
  <c r="AF17" i="177"/>
  <c r="AN17" i="177" s="1"/>
  <c r="AF18" i="177"/>
  <c r="AN18" i="177" s="1"/>
  <c r="X15" i="177"/>
  <c r="X16" i="177"/>
  <c r="X17" i="177"/>
  <c r="X18" i="177"/>
  <c r="X14" i="177"/>
  <c r="AF58" i="177"/>
  <c r="AN58" i="177" s="1"/>
  <c r="X58" i="177"/>
  <c r="S58" i="177"/>
  <c r="N58" i="177"/>
  <c r="G58" i="177"/>
  <c r="AF57" i="177"/>
  <c r="X57" i="177"/>
  <c r="X54" i="177" s="1"/>
  <c r="S57" i="177"/>
  <c r="N57" i="177"/>
  <c r="G57" i="177"/>
  <c r="AF35" i="177"/>
  <c r="X35" i="177"/>
  <c r="S35" i="177"/>
  <c r="N35" i="177"/>
  <c r="G35" i="177"/>
  <c r="AF34" i="177"/>
  <c r="X34" i="177"/>
  <c r="S34" i="177"/>
  <c r="N34" i="177"/>
  <c r="G34" i="177"/>
  <c r="AF33" i="177"/>
  <c r="X33" i="177"/>
  <c r="S33" i="177"/>
  <c r="N33" i="177"/>
  <c r="G33" i="177"/>
  <c r="AF32" i="177"/>
  <c r="X32" i="177"/>
  <c r="AN32" i="177" s="1"/>
  <c r="S32" i="177"/>
  <c r="N32" i="177"/>
  <c r="G32" i="177"/>
  <c r="AF31" i="177"/>
  <c r="X31" i="177"/>
  <c r="S31" i="177"/>
  <c r="N31" i="177"/>
  <c r="G31" i="177"/>
  <c r="AF30" i="177"/>
  <c r="X30" i="177"/>
  <c r="S30" i="177"/>
  <c r="N30" i="177"/>
  <c r="G30" i="177"/>
  <c r="AF29" i="177"/>
  <c r="X29" i="177"/>
  <c r="S29" i="177"/>
  <c r="N29" i="177"/>
  <c r="G29" i="177"/>
  <c r="G23" i="177" s="1"/>
  <c r="AF28" i="177"/>
  <c r="X28" i="177"/>
  <c r="S28" i="177"/>
  <c r="N28" i="177"/>
  <c r="X22" i="177"/>
  <c r="X19" i="177" s="1"/>
  <c r="S22" i="177"/>
  <c r="S19" i="177" s="1"/>
  <c r="N22" i="177"/>
  <c r="N19" i="177" s="1"/>
  <c r="AF14" i="177"/>
  <c r="AN14" i="177" s="1"/>
  <c r="AN16" i="177" l="1"/>
  <c r="AN29" i="177"/>
  <c r="AN34" i="177"/>
  <c r="AN15" i="177"/>
  <c r="AN31" i="177"/>
  <c r="AT10" i="177"/>
  <c r="AN36" i="177"/>
  <c r="M23" i="177"/>
  <c r="M10" i="177" s="1"/>
  <c r="AN41" i="177"/>
  <c r="N23" i="177"/>
  <c r="S23" i="177"/>
  <c r="AN26" i="177"/>
  <c r="AF23" i="177"/>
  <c r="AR10" i="177"/>
  <c r="AN57" i="177"/>
  <c r="AN30" i="177"/>
  <c r="AN35" i="177"/>
  <c r="AN40" i="177"/>
  <c r="AN28" i="177"/>
  <c r="AN39" i="177"/>
  <c r="X23" i="177"/>
  <c r="AN23" i="177" s="1"/>
  <c r="AN33" i="177"/>
  <c r="AO10" i="177"/>
  <c r="AP10" i="177"/>
  <c r="AQ10" i="177"/>
  <c r="AS10" i="177"/>
  <c r="N54" i="177"/>
  <c r="S54" i="177"/>
  <c r="AF54" i="177"/>
  <c r="AN54" i="177" s="1"/>
  <c r="X11" i="177"/>
  <c r="AF11" i="177"/>
  <c r="AN11" i="177" s="1"/>
  <c r="G54" i="177"/>
  <c r="G10" i="177" s="1"/>
  <c r="AF10" i="177" l="1"/>
  <c r="X10" i="177"/>
  <c r="N10" i="177"/>
  <c r="S10" i="177"/>
  <c r="D10" i="91" l="1"/>
  <c r="D9" i="91" s="1"/>
  <c r="C10" i="91"/>
  <c r="C9" i="91" s="1"/>
  <c r="F20" i="176" l="1"/>
  <c r="D21" i="176" l="1"/>
  <c r="D10" i="176"/>
  <c r="E11" i="176"/>
  <c r="E10" i="176" s="1"/>
  <c r="D23" i="176"/>
  <c r="E23" i="176" s="1"/>
  <c r="D20" i="176" l="1"/>
  <c r="J23" i="176"/>
  <c r="E8" i="176" l="1"/>
  <c r="E22" i="176" l="1"/>
  <c r="E9" i="176" s="1"/>
  <c r="E7" i="176" s="1"/>
  <c r="H21" i="176"/>
  <c r="E18" i="176"/>
  <c r="D18" i="176"/>
  <c r="J11" i="176"/>
  <c r="H11" i="176"/>
  <c r="H10" i="176" s="1"/>
  <c r="F11" i="176"/>
  <c r="F10" i="176" s="1"/>
  <c r="F9" i="176"/>
  <c r="F7" i="176" s="1"/>
  <c r="H8" i="176"/>
  <c r="H7" i="176" s="1"/>
  <c r="D7" i="176"/>
  <c r="C39" i="78"/>
  <c r="C9" i="78"/>
  <c r="C11" i="77"/>
  <c r="F63" i="77"/>
  <c r="E63" i="77" s="1"/>
  <c r="F64" i="77"/>
  <c r="E64" i="77" s="1"/>
  <c r="D63" i="77"/>
  <c r="C63" i="77" s="1"/>
  <c r="D64" i="77"/>
  <c r="C64" i="77" s="1"/>
  <c r="E65" i="77"/>
  <c r="E66" i="77"/>
  <c r="C31" i="75"/>
  <c r="D39" i="76"/>
  <c r="D35" i="76"/>
  <c r="D16" i="76"/>
  <c r="D8" i="76"/>
  <c r="C8" i="76"/>
  <c r="E34" i="75"/>
  <c r="E35" i="75"/>
  <c r="E36" i="75"/>
  <c r="C27" i="75"/>
  <c r="C28" i="75"/>
  <c r="F14" i="75"/>
  <c r="F13" i="75"/>
  <c r="D12" i="75"/>
  <c r="E9" i="87" s="1"/>
  <c r="D9" i="75"/>
  <c r="E16" i="75"/>
  <c r="C26" i="75" l="1"/>
  <c r="D7" i="76"/>
  <c r="H64" i="77"/>
  <c r="G64" i="77"/>
  <c r="C29" i="75"/>
  <c r="D6" i="176"/>
  <c r="D25" i="176" s="1"/>
  <c r="E6" i="176"/>
  <c r="H20" i="176"/>
  <c r="J20" i="176" s="1"/>
  <c r="E21" i="176"/>
  <c r="E20" i="176" s="1"/>
  <c r="I21" i="176"/>
  <c r="J21" i="176" s="1"/>
  <c r="F11" i="77"/>
  <c r="E11" i="77"/>
  <c r="D27" i="76"/>
  <c r="D25" i="76" s="1"/>
  <c r="D24" i="76" s="1"/>
  <c r="C17" i="76"/>
  <c r="C16" i="76" s="1"/>
  <c r="C7" i="76" s="1"/>
  <c r="C27" i="76"/>
  <c r="D8" i="75"/>
  <c r="D24" i="176" l="1"/>
  <c r="E25" i="176"/>
  <c r="E24" i="176" s="1"/>
  <c r="C25" i="76"/>
  <c r="C24" i="76" s="1"/>
  <c r="C34" i="76"/>
  <c r="C33" i="76" s="1"/>
  <c r="L17" i="81" l="1"/>
  <c r="L19" i="81"/>
  <c r="I19" i="81" s="1"/>
  <c r="I19" i="85" s="1"/>
  <c r="L19" i="85" s="1"/>
  <c r="L21" i="81"/>
  <c r="L22" i="81"/>
  <c r="L23" i="81"/>
  <c r="L24" i="81"/>
  <c r="L25" i="81"/>
  <c r="S17" i="82" l="1"/>
  <c r="S8" i="82" s="1"/>
  <c r="R17" i="82"/>
  <c r="R8" i="82" s="1"/>
  <c r="Q17" i="82"/>
  <c r="Q8" i="82" s="1"/>
  <c r="P17" i="82"/>
  <c r="P8" i="82" s="1"/>
  <c r="O17" i="82"/>
  <c r="O8" i="82" s="1"/>
  <c r="N17" i="82"/>
  <c r="N8" i="82" s="1"/>
  <c r="M17" i="82"/>
  <c r="M8" i="82" s="1"/>
  <c r="L17" i="82"/>
  <c r="L8" i="82" s="1"/>
  <c r="K17" i="82"/>
  <c r="K8" i="82" s="1"/>
  <c r="J17" i="82"/>
  <c r="J8" i="82" s="1"/>
  <c r="I17" i="82"/>
  <c r="I8" i="82" s="1"/>
  <c r="H17" i="82"/>
  <c r="H8" i="82" s="1"/>
  <c r="G17" i="82"/>
  <c r="G8" i="82" s="1"/>
  <c r="F17" i="82"/>
  <c r="F8" i="82" s="1"/>
  <c r="E17" i="82"/>
  <c r="E8" i="82" s="1"/>
  <c r="C17" i="82"/>
  <c r="G13" i="81" s="1"/>
  <c r="T14" i="82"/>
  <c r="T13" i="82"/>
  <c r="T11" i="82"/>
  <c r="T10" i="82"/>
  <c r="F13" i="81" l="1"/>
  <c r="G13" i="85"/>
  <c r="G10" i="85" s="1"/>
  <c r="G10" i="81"/>
  <c r="G9" i="81" s="1"/>
  <c r="D17" i="82"/>
  <c r="T17" i="82"/>
  <c r="T16" i="82"/>
  <c r="D8" i="82" l="1"/>
  <c r="M13" i="81"/>
  <c r="T9" i="82"/>
  <c r="T8" i="82"/>
  <c r="O13" i="85" l="1"/>
  <c r="O10" i="85" s="1"/>
  <c r="M10" i="81"/>
  <c r="M9" i="81" s="1"/>
  <c r="T23" i="83"/>
  <c r="J8" i="84" l="1"/>
  <c r="K8" i="84" l="1"/>
  <c r="L20" i="81" l="1"/>
  <c r="I20" i="81" s="1"/>
  <c r="I20" i="85" s="1"/>
  <c r="L20" i="85" s="1"/>
  <c r="L18" i="81"/>
  <c r="I18" i="81" s="1"/>
  <c r="I18" i="85" s="1"/>
  <c r="L18" i="85" s="1"/>
  <c r="L16" i="81"/>
  <c r="L13" i="81"/>
  <c r="I13" i="81" s="1"/>
  <c r="I13" i="85" s="1"/>
  <c r="L12" i="81"/>
  <c r="X15" i="133"/>
  <c r="U15" i="133"/>
  <c r="R15" i="133"/>
  <c r="P15" i="133"/>
  <c r="L15" i="133"/>
  <c r="I15" i="133"/>
  <c r="F15" i="133"/>
  <c r="D15" i="133"/>
  <c r="X14" i="133"/>
  <c r="U14" i="133"/>
  <c r="R14" i="133"/>
  <c r="Q14" i="133"/>
  <c r="P14" i="133"/>
  <c r="L14" i="133"/>
  <c r="I14" i="133"/>
  <c r="F14" i="133"/>
  <c r="E14" i="133"/>
  <c r="D14" i="133"/>
  <c r="U13" i="133"/>
  <c r="R13" i="133"/>
  <c r="P13" i="133"/>
  <c r="L13" i="133"/>
  <c r="I13" i="133"/>
  <c r="F13" i="133"/>
  <c r="E13" i="133"/>
  <c r="D13" i="133"/>
  <c r="X12" i="133"/>
  <c r="U12" i="133"/>
  <c r="R12" i="133"/>
  <c r="Q12" i="133"/>
  <c r="P12" i="133"/>
  <c r="L12" i="133"/>
  <c r="I12" i="133"/>
  <c r="F12" i="133"/>
  <c r="D12" i="133"/>
  <c r="C20" i="80"/>
  <c r="C28" i="79" s="1"/>
  <c r="F28" i="79" l="1"/>
  <c r="E28" i="79"/>
  <c r="AC14" i="133"/>
  <c r="AC13" i="133"/>
  <c r="AD14" i="133"/>
  <c r="L11" i="81"/>
  <c r="I11" i="81" s="1"/>
  <c r="I11" i="85" s="1"/>
  <c r="Z11" i="133"/>
  <c r="F11" i="81"/>
  <c r="C11" i="81" s="1"/>
  <c r="C11" i="85" s="1"/>
  <c r="O15" i="133"/>
  <c r="O12" i="133"/>
  <c r="C15" i="133"/>
  <c r="AD15" i="133"/>
  <c r="X13" i="133"/>
  <c r="C14" i="133"/>
  <c r="O14" i="133"/>
  <c r="C12" i="133"/>
  <c r="AD12" i="133"/>
  <c r="C13" i="133"/>
  <c r="E45" i="80"/>
  <c r="E44" i="80" s="1"/>
  <c r="D41" i="80"/>
  <c r="D40" i="80" s="1"/>
  <c r="C32" i="80"/>
  <c r="L10" i="81" l="1"/>
  <c r="L9" i="81" s="1"/>
  <c r="O13" i="133"/>
  <c r="AD13" i="133"/>
  <c r="AB12" i="133"/>
  <c r="AB15" i="133"/>
  <c r="AB14" i="133"/>
  <c r="AB13" i="133" l="1"/>
  <c r="F55" i="80"/>
  <c r="F70" i="80"/>
  <c r="F58" i="80"/>
  <c r="F52" i="80"/>
  <c r="F50" i="80"/>
  <c r="F73" i="80"/>
  <c r="F62" i="80"/>
  <c r="F72" i="80"/>
  <c r="F60" i="80"/>
  <c r="F54" i="80"/>
  <c r="F48" i="80"/>
  <c r="F68" i="80"/>
  <c r="F59" i="80"/>
  <c r="F53" i="80"/>
  <c r="F47" i="80"/>
  <c r="F57" i="80"/>
  <c r="F51" i="80"/>
  <c r="F46" i="80"/>
  <c r="C9" i="87" l="1"/>
  <c r="H8" i="87"/>
  <c r="G8" i="87"/>
  <c r="F8" i="87"/>
  <c r="E8" i="87"/>
  <c r="D8" i="87"/>
  <c r="N12" i="85" l="1"/>
  <c r="C8" i="87"/>
  <c r="F12" i="85"/>
  <c r="F16" i="85"/>
  <c r="N13" i="85"/>
  <c r="L13" i="85" s="1"/>
  <c r="F13" i="85"/>
  <c r="M19" i="85"/>
  <c r="M20" i="85"/>
  <c r="N11" i="85"/>
  <c r="L11" i="85" s="1"/>
  <c r="F11" i="85"/>
  <c r="M18" i="85"/>
  <c r="R11" i="85"/>
  <c r="R20" i="85"/>
  <c r="S10" i="85"/>
  <c r="N16" i="85"/>
  <c r="S12" i="85"/>
  <c r="F10" i="85" l="1"/>
  <c r="N10" i="85"/>
  <c r="U12" i="85"/>
  <c r="U13" i="85"/>
  <c r="U11" i="85"/>
  <c r="T15" i="85"/>
  <c r="T14" i="85"/>
  <c r="T20" i="85"/>
  <c r="T13" i="85"/>
  <c r="T19" i="85"/>
  <c r="T18" i="85"/>
  <c r="U16" i="85"/>
  <c r="T11" i="85" l="1"/>
  <c r="U10" i="85"/>
  <c r="F71" i="80" l="1"/>
  <c r="F56" i="80" l="1"/>
  <c r="G11" i="80" l="1"/>
  <c r="G10" i="80" s="1"/>
  <c r="F49" i="80" l="1"/>
  <c r="F64" i="80"/>
  <c r="F22" i="80" l="1"/>
  <c r="F66" i="80"/>
  <c r="F69" i="80"/>
  <c r="F63" i="80" l="1"/>
  <c r="C33" i="80" l="1"/>
  <c r="F65" i="80" l="1"/>
  <c r="D17" i="170" l="1"/>
  <c r="C17" i="170"/>
  <c r="D13" i="170"/>
  <c r="C13" i="170"/>
  <c r="D7" i="170"/>
  <c r="D12" i="170" s="1"/>
  <c r="C7" i="170"/>
  <c r="C12" i="170" s="1"/>
  <c r="C25" i="170" l="1"/>
  <c r="C26" i="170" s="1"/>
  <c r="C29" i="170" s="1"/>
  <c r="D25" i="170"/>
  <c r="D26" i="170" s="1"/>
  <c r="D29" i="170" s="1"/>
  <c r="E23" i="169"/>
  <c r="D30" i="170" l="1"/>
  <c r="D31" i="170"/>
  <c r="C31" i="170"/>
  <c r="C34" i="170"/>
  <c r="C30" i="170"/>
  <c r="H8" i="168"/>
  <c r="I8" i="168" s="1"/>
  <c r="H7" i="168"/>
  <c r="F11" i="168"/>
  <c r="F12" i="168"/>
  <c r="H12" i="168" s="1"/>
  <c r="J12" i="168" s="1"/>
  <c r="H14" i="168"/>
  <c r="H13" i="168"/>
  <c r="H15" i="168"/>
  <c r="F59" i="172"/>
  <c r="F58" i="172"/>
  <c r="F57" i="172"/>
  <c r="F56" i="172"/>
  <c r="F55" i="172"/>
  <c r="F54" i="172"/>
  <c r="F53" i="172"/>
  <c r="F52" i="172"/>
  <c r="F51" i="172"/>
  <c r="E50" i="172"/>
  <c r="E49" i="172"/>
  <c r="F49" i="172" s="1"/>
  <c r="E48" i="172"/>
  <c r="F48" i="172" s="1"/>
  <c r="E47" i="172"/>
  <c r="F47" i="172" s="1"/>
  <c r="F46" i="172"/>
  <c r="E45" i="172"/>
  <c r="F45" i="172" s="1"/>
  <c r="E44" i="172"/>
  <c r="F44" i="172" s="1"/>
  <c r="F43" i="172"/>
  <c r="F42" i="172"/>
  <c r="E41" i="172"/>
  <c r="F41" i="172" s="1"/>
  <c r="E40" i="172"/>
  <c r="F40" i="172" s="1"/>
  <c r="E39" i="172"/>
  <c r="F39" i="172" s="1"/>
  <c r="E38" i="172"/>
  <c r="F38" i="172" s="1"/>
  <c r="E37" i="172"/>
  <c r="E36" i="172"/>
  <c r="F36" i="172" s="1"/>
  <c r="F35" i="172"/>
  <c r="F34" i="172"/>
  <c r="E33" i="172"/>
  <c r="F33" i="172" s="1"/>
  <c r="F32" i="172"/>
  <c r="F30" i="172"/>
  <c r="F29" i="172"/>
  <c r="F28" i="172"/>
  <c r="F27" i="172"/>
  <c r="F26" i="172"/>
  <c r="F25" i="172"/>
  <c r="F24" i="172"/>
  <c r="F23" i="172"/>
  <c r="F22" i="172"/>
  <c r="F21" i="172"/>
  <c r="F20" i="172"/>
  <c r="F19" i="172"/>
  <c r="F18" i="172"/>
  <c r="F17" i="172"/>
  <c r="F16" i="172"/>
  <c r="F15" i="172"/>
  <c r="E14" i="172"/>
  <c r="E11" i="172"/>
  <c r="E9" i="172" s="1"/>
  <c r="E6" i="172" s="1"/>
  <c r="I84" i="171"/>
  <c r="I83" i="171"/>
  <c r="E82" i="171"/>
  <c r="I82" i="171" s="1"/>
  <c r="E79" i="171"/>
  <c r="I79" i="171" s="1"/>
  <c r="I78" i="171"/>
  <c r="I77" i="171"/>
  <c r="I76" i="171"/>
  <c r="I75" i="171"/>
  <c r="I74" i="171"/>
  <c r="I73" i="171"/>
  <c r="J72" i="171"/>
  <c r="H72" i="171"/>
  <c r="G72" i="171"/>
  <c r="F72" i="171"/>
  <c r="E72" i="171"/>
  <c r="J70" i="171"/>
  <c r="I69" i="171"/>
  <c r="I68" i="171"/>
  <c r="I67" i="171"/>
  <c r="I66" i="171"/>
  <c r="I65" i="171"/>
  <c r="I64" i="171"/>
  <c r="I63" i="171"/>
  <c r="J63" i="171" s="1"/>
  <c r="I62" i="171"/>
  <c r="J62" i="171" s="1"/>
  <c r="J61" i="171"/>
  <c r="I60" i="171"/>
  <c r="E59" i="171"/>
  <c r="I58" i="171"/>
  <c r="I57" i="171"/>
  <c r="I56" i="171"/>
  <c r="I55" i="171"/>
  <c r="J55" i="171" s="1"/>
  <c r="I54" i="171"/>
  <c r="I53" i="171"/>
  <c r="I52" i="171"/>
  <c r="I51" i="171"/>
  <c r="E50" i="171"/>
  <c r="J49" i="171"/>
  <c r="J47" i="171"/>
  <c r="I44" i="171"/>
  <c r="E44" i="171"/>
  <c r="J43" i="171"/>
  <c r="J42" i="171"/>
  <c r="I41" i="171"/>
  <c r="I40" i="171" s="1"/>
  <c r="E41" i="171"/>
  <c r="I39" i="171"/>
  <c r="I34" i="171"/>
  <c r="E34" i="171"/>
  <c r="J32" i="171"/>
  <c r="J31" i="171"/>
  <c r="E30" i="171"/>
  <c r="J30" i="171" s="1"/>
  <c r="J29" i="171"/>
  <c r="J28" i="171"/>
  <c r="E25" i="171"/>
  <c r="E24" i="171" s="1"/>
  <c r="J22" i="171"/>
  <c r="J21" i="171"/>
  <c r="J20" i="171"/>
  <c r="J19" i="171"/>
  <c r="J18" i="171"/>
  <c r="J17" i="171"/>
  <c r="J14" i="171"/>
  <c r="E13" i="171"/>
  <c r="E12" i="171" s="1"/>
  <c r="I12" i="171"/>
  <c r="I7" i="171" s="1"/>
  <c r="J11" i="171"/>
  <c r="J10" i="171"/>
  <c r="J9" i="171"/>
  <c r="J8" i="171"/>
  <c r="E28" i="169"/>
  <c r="E27" i="169"/>
  <c r="H25" i="169"/>
  <c r="H23" i="169"/>
  <c r="E21" i="169"/>
  <c r="F21" i="169" s="1"/>
  <c r="F18" i="169" s="1"/>
  <c r="J20" i="169"/>
  <c r="E20" i="169"/>
  <c r="I19" i="169" s="1"/>
  <c r="H19" i="169"/>
  <c r="E19" i="169"/>
  <c r="D18" i="169"/>
  <c r="E16" i="169"/>
  <c r="E15" i="169"/>
  <c r="D14" i="169"/>
  <c r="I13" i="169" s="1"/>
  <c r="E13" i="169"/>
  <c r="H13" i="169" s="1"/>
  <c r="H12" i="169"/>
  <c r="H11" i="169" s="1"/>
  <c r="E12" i="169"/>
  <c r="E11" i="169" s="1"/>
  <c r="G11" i="169"/>
  <c r="F11" i="169"/>
  <c r="D11" i="169"/>
  <c r="J10" i="169"/>
  <c r="J11" i="169" s="1"/>
  <c r="H10" i="169"/>
  <c r="H9" i="169" s="1"/>
  <c r="E10" i="169"/>
  <c r="F10" i="169" s="1"/>
  <c r="F9" i="169" s="1"/>
  <c r="G9" i="169"/>
  <c r="D9" i="169"/>
  <c r="E8" i="169"/>
  <c r="F8" i="169" s="1"/>
  <c r="F6" i="169" s="1"/>
  <c r="H7" i="169"/>
  <c r="H6" i="169" s="1"/>
  <c r="E7" i="169"/>
  <c r="G6" i="169"/>
  <c r="D6" i="169"/>
  <c r="F24" i="168"/>
  <c r="F23" i="168"/>
  <c r="E23" i="168"/>
  <c r="F19" i="168"/>
  <c r="F17" i="168" s="1"/>
  <c r="G17" i="168" s="1"/>
  <c r="G16" i="168" s="1"/>
  <c r="E17" i="168"/>
  <c r="G15" i="168"/>
  <c r="G14" i="168"/>
  <c r="G13" i="168"/>
  <c r="E10" i="168"/>
  <c r="E6" i="168"/>
  <c r="E13" i="166"/>
  <c r="E12" i="166"/>
  <c r="E10" i="166"/>
  <c r="E6" i="166" s="1"/>
  <c r="F10" i="168" l="1"/>
  <c r="G10" i="168"/>
  <c r="G9" i="168" s="1"/>
  <c r="I9" i="168" s="1"/>
  <c r="E16" i="168"/>
  <c r="G6" i="168"/>
  <c r="E14" i="169"/>
  <c r="E9" i="168"/>
  <c r="I72" i="171"/>
  <c r="I6" i="168"/>
  <c r="F50" i="172"/>
  <c r="E18" i="169"/>
  <c r="D17" i="169"/>
  <c r="F16" i="168"/>
  <c r="F9" i="168" s="1"/>
  <c r="E26" i="168" s="1"/>
  <c r="E28" i="168" s="1"/>
  <c r="J12" i="171"/>
  <c r="E6" i="169"/>
  <c r="I16" i="168"/>
  <c r="I17" i="168" s="1"/>
  <c r="I50" i="171"/>
  <c r="J50" i="171" s="1"/>
  <c r="F17" i="169"/>
  <c r="E9" i="169"/>
  <c r="H17" i="169"/>
  <c r="J17" i="169" s="1"/>
  <c r="G17" i="169"/>
  <c r="E31" i="172"/>
  <c r="E12" i="172" s="1"/>
  <c r="F14" i="172"/>
  <c r="J41" i="171"/>
  <c r="I71" i="171"/>
  <c r="J44" i="171"/>
  <c r="I59" i="171"/>
  <c r="J59" i="171"/>
  <c r="J34" i="171"/>
  <c r="J19" i="169"/>
  <c r="F37" i="172"/>
  <c r="F31" i="172" s="1"/>
  <c r="J24" i="171"/>
  <c r="E23" i="171"/>
  <c r="J13" i="171"/>
  <c r="E40" i="171"/>
  <c r="E71" i="171"/>
  <c r="J21" i="169"/>
  <c r="I33" i="171" l="1"/>
  <c r="E17" i="169"/>
  <c r="E22" i="169" s="1"/>
  <c r="J71" i="171"/>
  <c r="I6" i="171"/>
  <c r="F12" i="172"/>
  <c r="E60" i="172" s="1"/>
  <c r="E61" i="172" s="1"/>
  <c r="H10" i="168"/>
  <c r="J10" i="168" s="1"/>
  <c r="E33" i="171"/>
  <c r="J40" i="171"/>
  <c r="J33" i="171" s="1"/>
  <c r="J23" i="171"/>
  <c r="E7" i="171"/>
  <c r="J7" i="171" l="1"/>
  <c r="E6" i="171"/>
  <c r="J6" i="171" s="1"/>
  <c r="E9" i="165" l="1"/>
  <c r="E8" i="165" s="1"/>
  <c r="E7" i="165" s="1"/>
  <c r="F9" i="165"/>
  <c r="F8" i="165" s="1"/>
  <c r="F7" i="165" s="1"/>
  <c r="G9" i="165"/>
  <c r="H9" i="165"/>
  <c r="H8" i="165" s="1"/>
  <c r="H7" i="165" s="1"/>
  <c r="I9" i="165"/>
  <c r="I8" i="165" s="1"/>
  <c r="I7" i="165" s="1"/>
  <c r="J9" i="165"/>
  <c r="K9" i="165"/>
  <c r="L9" i="165"/>
  <c r="L8" i="165" s="1"/>
  <c r="L7" i="165" s="1"/>
  <c r="M9" i="165"/>
  <c r="M8" i="165" s="1"/>
  <c r="M7" i="165" s="1"/>
  <c r="N9" i="165"/>
  <c r="N8" i="165" s="1"/>
  <c r="N7" i="165" s="1"/>
  <c r="O9" i="165"/>
  <c r="O8" i="165" s="1"/>
  <c r="O7" i="165" s="1"/>
  <c r="P9" i="165"/>
  <c r="P8" i="165" s="1"/>
  <c r="P7" i="165" s="1"/>
  <c r="Q9" i="165"/>
  <c r="Q8" i="165" s="1"/>
  <c r="Q7" i="165" s="1"/>
  <c r="R9" i="165"/>
  <c r="C10" i="165"/>
  <c r="C11" i="165"/>
  <c r="D11" i="165"/>
  <c r="D10" i="165"/>
  <c r="D17" i="165"/>
  <c r="O12" i="165"/>
  <c r="D12" i="165"/>
  <c r="D26" i="165"/>
  <c r="S21" i="165"/>
  <c r="R21" i="165"/>
  <c r="Q21" i="165"/>
  <c r="P21" i="165"/>
  <c r="O21" i="165"/>
  <c r="N21" i="165"/>
  <c r="M21" i="165"/>
  <c r="L21" i="165"/>
  <c r="K21" i="165"/>
  <c r="I21" i="165"/>
  <c r="H21" i="165"/>
  <c r="G21" i="165"/>
  <c r="F21" i="165"/>
  <c r="E21" i="165"/>
  <c r="C21" i="165"/>
  <c r="S19" i="165"/>
  <c r="R19" i="165"/>
  <c r="Q19" i="165"/>
  <c r="P19" i="165"/>
  <c r="O19" i="165"/>
  <c r="N19" i="165"/>
  <c r="M19" i="165"/>
  <c r="L19" i="165"/>
  <c r="K19" i="165"/>
  <c r="I19" i="165"/>
  <c r="H19" i="165"/>
  <c r="G19" i="165"/>
  <c r="F19" i="165"/>
  <c r="E19" i="165"/>
  <c r="D18" i="165"/>
  <c r="T18" i="165" s="1"/>
  <c r="C17" i="165"/>
  <c r="D13" i="165"/>
  <c r="T13" i="165" s="1"/>
  <c r="S8" i="165"/>
  <c r="S7" i="165" s="1"/>
  <c r="R8" i="165"/>
  <c r="R7" i="165" s="1"/>
  <c r="K8" i="165"/>
  <c r="K7" i="165" s="1"/>
  <c r="J8" i="165"/>
  <c r="J7" i="165" s="1"/>
  <c r="G8" i="165"/>
  <c r="G7" i="165" s="1"/>
  <c r="D9" i="165" l="1"/>
  <c r="C9" i="165"/>
  <c r="T9" i="165" s="1"/>
  <c r="T17" i="165"/>
  <c r="C26" i="80" l="1"/>
  <c r="C71" i="78" l="1"/>
  <c r="C27" i="78" l="1"/>
  <c r="C31" i="78"/>
  <c r="C55" i="162" l="1"/>
  <c r="D55" i="162"/>
  <c r="E55" i="162"/>
  <c r="F55" i="162"/>
  <c r="G55" i="162"/>
  <c r="H55" i="162"/>
  <c r="I55" i="162"/>
  <c r="J55" i="162"/>
  <c r="K55" i="162"/>
  <c r="L55" i="162"/>
  <c r="M55" i="162"/>
  <c r="N55" i="162"/>
  <c r="O55" i="162"/>
  <c r="P55" i="162"/>
  <c r="Q55" i="162"/>
  <c r="R55" i="162"/>
  <c r="S55" i="162"/>
  <c r="T55" i="162"/>
  <c r="U55" i="162"/>
  <c r="V55" i="162"/>
  <c r="W55" i="162"/>
  <c r="X55" i="162"/>
  <c r="AB55" i="162"/>
  <c r="AF55" i="162"/>
  <c r="D16" i="133" l="1"/>
  <c r="D11" i="133" s="1"/>
  <c r="E16" i="133"/>
  <c r="P16" i="133"/>
  <c r="P11" i="133" s="1"/>
  <c r="AC11" i="133" s="1"/>
  <c r="Q16" i="133"/>
  <c r="Q11" i="133" s="1"/>
  <c r="AO60" i="162"/>
  <c r="AB59" i="162"/>
  <c r="AO59" i="162" s="1"/>
  <c r="AN58" i="162"/>
  <c r="AF58" i="162"/>
  <c r="AB58" i="162"/>
  <c r="AA58" i="162"/>
  <c r="Z58" i="162"/>
  <c r="Y58" i="162"/>
  <c r="AN57" i="162"/>
  <c r="AN55" i="162" s="1"/>
  <c r="AM57" i="162"/>
  <c r="AL57" i="162"/>
  <c r="AK57" i="162"/>
  <c r="AK55" i="162" s="1"/>
  <c r="AJ57" i="162"/>
  <c r="AJ55" i="162" s="1"/>
  <c r="AI57" i="162"/>
  <c r="AI55" i="162" s="1"/>
  <c r="AH57" i="162"/>
  <c r="AH55" i="162" s="1"/>
  <c r="AG57" i="162"/>
  <c r="AE57" i="162"/>
  <c r="AE55" i="162" s="1"/>
  <c r="AD57" i="162"/>
  <c r="AD55" i="162" s="1"/>
  <c r="AC57" i="162"/>
  <c r="AC55" i="162" s="1"/>
  <c r="Z57" i="162"/>
  <c r="Z55" i="162" s="1"/>
  <c r="Y57" i="162"/>
  <c r="Y55" i="162" s="1"/>
  <c r="AO56" i="162"/>
  <c r="AO54" i="162"/>
  <c r="O54" i="162"/>
  <c r="I54" i="162"/>
  <c r="D54" i="162"/>
  <c r="AO53" i="162"/>
  <c r="O53" i="162"/>
  <c r="I53" i="162"/>
  <c r="D53" i="162"/>
  <c r="AN52" i="162"/>
  <c r="AN51" i="162" s="1"/>
  <c r="AM52" i="162"/>
  <c r="AM51" i="162" s="1"/>
  <c r="AL52" i="162"/>
  <c r="AL51" i="162" s="1"/>
  <c r="AK52" i="162"/>
  <c r="AK51" i="162" s="1"/>
  <c r="AJ52" i="162"/>
  <c r="AJ51" i="162" s="1"/>
  <c r="AI52" i="162"/>
  <c r="AI51" i="162" s="1"/>
  <c r="AH52" i="162"/>
  <c r="AH51" i="162" s="1"/>
  <c r="AG52" i="162"/>
  <c r="AG51" i="162" s="1"/>
  <c r="AF52" i="162"/>
  <c r="AF51" i="162" s="1"/>
  <c r="AE52" i="162"/>
  <c r="AE51" i="162" s="1"/>
  <c r="AD52" i="162"/>
  <c r="AD51" i="162" s="1"/>
  <c r="AC52" i="162"/>
  <c r="AC51" i="162" s="1"/>
  <c r="AB52" i="162"/>
  <c r="AB51" i="162" s="1"/>
  <c r="AA52" i="162"/>
  <c r="AA51" i="162" s="1"/>
  <c r="Z52" i="162"/>
  <c r="Z51" i="162" s="1"/>
  <c r="Y52" i="162"/>
  <c r="Y51" i="162" s="1"/>
  <c r="X52" i="162"/>
  <c r="W52" i="162"/>
  <c r="U52" i="162"/>
  <c r="T52" i="162"/>
  <c r="R52" i="162"/>
  <c r="Q52" i="162"/>
  <c r="P52" i="162"/>
  <c r="N52" i="162"/>
  <c r="M52" i="162"/>
  <c r="L52" i="162"/>
  <c r="K52" i="162"/>
  <c r="J52" i="162"/>
  <c r="D52" i="162"/>
  <c r="AO50" i="162"/>
  <c r="O50" i="162"/>
  <c r="I50" i="162"/>
  <c r="D50" i="162"/>
  <c r="C50" i="162" s="1"/>
  <c r="S50" i="162" s="1"/>
  <c r="V50" i="162" s="1"/>
  <c r="AA49" i="162"/>
  <c r="AO49" i="162" s="1"/>
  <c r="O49" i="162"/>
  <c r="I49" i="162"/>
  <c r="D49" i="162"/>
  <c r="AK48" i="162"/>
  <c r="AK47" i="162" s="1"/>
  <c r="AJ48" i="162"/>
  <c r="AJ47" i="162" s="1"/>
  <c r="AI48" i="162"/>
  <c r="AI47" i="162" s="1"/>
  <c r="AH48" i="162"/>
  <c r="AH47" i="162" s="1"/>
  <c r="AG48" i="162"/>
  <c r="AG47" i="162" s="1"/>
  <c r="AF48" i="162"/>
  <c r="AF47" i="162" s="1"/>
  <c r="AE48" i="162"/>
  <c r="AE47" i="162" s="1"/>
  <c r="AD48" i="162"/>
  <c r="AD47" i="162" s="1"/>
  <c r="AC48" i="162"/>
  <c r="AC47" i="162" s="1"/>
  <c r="AB48" i="162"/>
  <c r="AB47" i="162" s="1"/>
  <c r="Z48" i="162"/>
  <c r="Z47" i="162" s="1"/>
  <c r="Y48" i="162"/>
  <c r="Y47" i="162" s="1"/>
  <c r="X48" i="162"/>
  <c r="W48" i="162"/>
  <c r="U48" i="162"/>
  <c r="T48" i="162"/>
  <c r="R48" i="162"/>
  <c r="Q48" i="162"/>
  <c r="P48" i="162"/>
  <c r="O48" i="162" s="1"/>
  <c r="N48" i="162"/>
  <c r="M48" i="162"/>
  <c r="L48" i="162"/>
  <c r="K48" i="162"/>
  <c r="J48" i="162"/>
  <c r="D48" i="162"/>
  <c r="AN47" i="162"/>
  <c r="AM47" i="162"/>
  <c r="AL47" i="162"/>
  <c r="AO46" i="162"/>
  <c r="AO45" i="162"/>
  <c r="AO44" i="162"/>
  <c r="I44" i="162"/>
  <c r="D44" i="162"/>
  <c r="AO43" i="162"/>
  <c r="I43" i="162"/>
  <c r="D43" i="162"/>
  <c r="AL42" i="162"/>
  <c r="AK42" i="162"/>
  <c r="AJ42" i="162"/>
  <c r="AI42" i="162"/>
  <c r="AH42" i="162"/>
  <c r="AG42" i="162"/>
  <c r="AF42" i="162"/>
  <c r="AE42" i="162"/>
  <c r="AD42" i="162"/>
  <c r="AC42" i="162"/>
  <c r="AB42" i="162"/>
  <c r="AA42" i="162"/>
  <c r="Z42" i="162"/>
  <c r="Y42" i="162"/>
  <c r="X42" i="162"/>
  <c r="W42" i="162"/>
  <c r="V42" i="162"/>
  <c r="U42" i="162"/>
  <c r="T42" i="162"/>
  <c r="R42" i="162"/>
  <c r="Q42" i="162"/>
  <c r="N42" i="162"/>
  <c r="M42" i="162"/>
  <c r="L42" i="162"/>
  <c r="K42" i="162"/>
  <c r="J42" i="162"/>
  <c r="D42" i="162"/>
  <c r="AO41" i="162"/>
  <c r="O41" i="162"/>
  <c r="I41" i="162"/>
  <c r="D41" i="162"/>
  <c r="AO40" i="162"/>
  <c r="O40" i="162"/>
  <c r="I40" i="162"/>
  <c r="D40" i="162"/>
  <c r="AL39" i="162"/>
  <c r="AK39" i="162"/>
  <c r="AJ39" i="162"/>
  <c r="AI39" i="162"/>
  <c r="AH39" i="162"/>
  <c r="AG39" i="162"/>
  <c r="AF39" i="162"/>
  <c r="AE39" i="162"/>
  <c r="AD39" i="162"/>
  <c r="AC39" i="162"/>
  <c r="AB39" i="162"/>
  <c r="AA39" i="162"/>
  <c r="Z39" i="162"/>
  <c r="Y39" i="162"/>
  <c r="X39" i="162"/>
  <c r="W39" i="162"/>
  <c r="V39" i="162"/>
  <c r="U39" i="162"/>
  <c r="R39" i="162"/>
  <c r="Q39" i="162"/>
  <c r="P39" i="162"/>
  <c r="N39" i="162"/>
  <c r="M39" i="162"/>
  <c r="L39" i="162"/>
  <c r="K39" i="162"/>
  <c r="J39" i="162"/>
  <c r="H39" i="162"/>
  <c r="G39" i="162"/>
  <c r="F39" i="162"/>
  <c r="E39" i="162"/>
  <c r="AO38" i="162"/>
  <c r="U38" i="162"/>
  <c r="U36" i="162" s="1"/>
  <c r="R38" i="162"/>
  <c r="R36" i="162" s="1"/>
  <c r="P38" i="162"/>
  <c r="O38" i="162" s="1"/>
  <c r="I38" i="162"/>
  <c r="D38" i="162"/>
  <c r="AO37" i="162"/>
  <c r="W37" i="162"/>
  <c r="W36" i="162" s="1"/>
  <c r="V37" i="162"/>
  <c r="V36" i="162" s="1"/>
  <c r="Q37" i="162"/>
  <c r="P37" i="162"/>
  <c r="I37" i="162"/>
  <c r="F37" i="162"/>
  <c r="F36" i="162" s="1"/>
  <c r="D37" i="162"/>
  <c r="C37" i="162" s="1"/>
  <c r="AN36" i="162"/>
  <c r="AM36" i="162"/>
  <c r="AL36" i="162"/>
  <c r="AK36" i="162"/>
  <c r="AJ36" i="162"/>
  <c r="AI36" i="162"/>
  <c r="AH36" i="162"/>
  <c r="AG36" i="162"/>
  <c r="AF36" i="162"/>
  <c r="AE36" i="162"/>
  <c r="AD36" i="162"/>
  <c r="AC36" i="162"/>
  <c r="AB36" i="162"/>
  <c r="AA36" i="162"/>
  <c r="Z36" i="162"/>
  <c r="Y36" i="162"/>
  <c r="X36" i="162"/>
  <c r="T36" i="162"/>
  <c r="Q36" i="162"/>
  <c r="N36" i="162"/>
  <c r="M36" i="162"/>
  <c r="L36" i="162"/>
  <c r="K36" i="162"/>
  <c r="J36" i="162"/>
  <c r="H36" i="162"/>
  <c r="G36" i="162"/>
  <c r="E36" i="162"/>
  <c r="AK35" i="162"/>
  <c r="AK33" i="162" s="1"/>
  <c r="AJ35" i="162"/>
  <c r="AJ33" i="162" s="1"/>
  <c r="AI35" i="162"/>
  <c r="AI33" i="162" s="1"/>
  <c r="AH35" i="162"/>
  <c r="AG35" i="162"/>
  <c r="AF35" i="162"/>
  <c r="AE35" i="162"/>
  <c r="AD35" i="162"/>
  <c r="AD33" i="162" s="1"/>
  <c r="AC35" i="162"/>
  <c r="AC33" i="162" s="1"/>
  <c r="AB35" i="162"/>
  <c r="AB33" i="162" s="1"/>
  <c r="O35" i="162"/>
  <c r="I35" i="162"/>
  <c r="D35" i="162"/>
  <c r="C35" i="162" s="1"/>
  <c r="AO34" i="162"/>
  <c r="O34" i="162"/>
  <c r="I34" i="162"/>
  <c r="D34" i="162"/>
  <c r="AH33" i="162"/>
  <c r="AG33" i="162"/>
  <c r="AF33" i="162"/>
  <c r="AE33" i="162"/>
  <c r="AA33" i="162"/>
  <c r="Z33" i="162"/>
  <c r="Y33" i="162"/>
  <c r="X33" i="162"/>
  <c r="W33" i="162"/>
  <c r="U33" i="162"/>
  <c r="T33" i="162"/>
  <c r="R33" i="162"/>
  <c r="Q33" i="162"/>
  <c r="P33" i="162"/>
  <c r="N33" i="162"/>
  <c r="M33" i="162"/>
  <c r="L33" i="162"/>
  <c r="K33" i="162"/>
  <c r="J33" i="162"/>
  <c r="D33" i="162"/>
  <c r="AO31" i="162"/>
  <c r="I31" i="162"/>
  <c r="D31" i="162"/>
  <c r="AO30" i="162"/>
  <c r="I30" i="162"/>
  <c r="D30" i="162"/>
  <c r="AL29" i="162"/>
  <c r="AK29" i="162"/>
  <c r="AJ29" i="162"/>
  <c r="AI29" i="162"/>
  <c r="AH29" i="162"/>
  <c r="AG29" i="162"/>
  <c r="AF29" i="162"/>
  <c r="AE29" i="162"/>
  <c r="AD29" i="162"/>
  <c r="AC29" i="162"/>
  <c r="AB29" i="162"/>
  <c r="AA29" i="162"/>
  <c r="Z29" i="162"/>
  <c r="Y29" i="162"/>
  <c r="X29" i="162"/>
  <c r="W29" i="162"/>
  <c r="V29" i="162"/>
  <c r="U29" i="162"/>
  <c r="T29" i="162"/>
  <c r="R29" i="162"/>
  <c r="Q29" i="162"/>
  <c r="N29" i="162"/>
  <c r="M29" i="162"/>
  <c r="L29" i="162"/>
  <c r="K29" i="162"/>
  <c r="J29" i="162"/>
  <c r="D29" i="162"/>
  <c r="AO28" i="162"/>
  <c r="O28" i="162"/>
  <c r="I28" i="162"/>
  <c r="D28" i="162"/>
  <c r="AO27" i="162"/>
  <c r="O27" i="162"/>
  <c r="I27" i="162"/>
  <c r="D27" i="162"/>
  <c r="AL26" i="162"/>
  <c r="AK26" i="162"/>
  <c r="AJ26" i="162"/>
  <c r="AI26" i="162"/>
  <c r="AH26" i="162"/>
  <c r="AG26" i="162"/>
  <c r="AF26" i="162"/>
  <c r="AE26" i="162"/>
  <c r="AD26" i="162"/>
  <c r="AC26" i="162"/>
  <c r="AB26" i="162"/>
  <c r="AA26" i="162"/>
  <c r="Z26" i="162"/>
  <c r="Y26" i="162"/>
  <c r="X26" i="162"/>
  <c r="W26" i="162"/>
  <c r="V26" i="162"/>
  <c r="U26" i="162"/>
  <c r="R26" i="162"/>
  <c r="Q26" i="162"/>
  <c r="P26" i="162"/>
  <c r="N26" i="162"/>
  <c r="M26" i="162"/>
  <c r="L26" i="162"/>
  <c r="K26" i="162"/>
  <c r="J26" i="162"/>
  <c r="H26" i="162"/>
  <c r="G26" i="162"/>
  <c r="F26" i="162"/>
  <c r="E26" i="162"/>
  <c r="AO25" i="162"/>
  <c r="U25" i="162"/>
  <c r="U23" i="162" s="1"/>
  <c r="R25" i="162"/>
  <c r="R23" i="162" s="1"/>
  <c r="P25" i="162"/>
  <c r="I25" i="162"/>
  <c r="D25" i="162"/>
  <c r="C25" i="162" s="1"/>
  <c r="AD24" i="162"/>
  <c r="AD23" i="162" s="1"/>
  <c r="W24" i="162"/>
  <c r="W23" i="162" s="1"/>
  <c r="V24" i="162"/>
  <c r="V23" i="162" s="1"/>
  <c r="Q24" i="162"/>
  <c r="Q23" i="162" s="1"/>
  <c r="P24" i="162"/>
  <c r="I24" i="162"/>
  <c r="F24" i="162"/>
  <c r="D24" i="162" s="1"/>
  <c r="AN23" i="162"/>
  <c r="AM23" i="162"/>
  <c r="AL23" i="162"/>
  <c r="AK23" i="162"/>
  <c r="AJ23" i="162"/>
  <c r="AI23" i="162"/>
  <c r="AH23" i="162"/>
  <c r="AG23" i="162"/>
  <c r="AF23" i="162"/>
  <c r="AE23" i="162"/>
  <c r="AC23" i="162"/>
  <c r="AB23" i="162"/>
  <c r="AA23" i="162"/>
  <c r="Z23" i="162"/>
  <c r="Y23" i="162"/>
  <c r="X23" i="162"/>
  <c r="T23" i="162"/>
  <c r="N23" i="162"/>
  <c r="M23" i="162"/>
  <c r="L23" i="162"/>
  <c r="K23" i="162"/>
  <c r="J23" i="162"/>
  <c r="H23" i="162"/>
  <c r="G23" i="162"/>
  <c r="E23" i="162"/>
  <c r="Y22" i="162"/>
  <c r="AO22" i="162" s="1"/>
  <c r="O22" i="162"/>
  <c r="I22" i="162"/>
  <c r="D22" i="162"/>
  <c r="C22" i="162" s="1"/>
  <c r="S22" i="162" s="1"/>
  <c r="V22" i="162" s="1"/>
  <c r="AG21" i="162"/>
  <c r="AO21" i="162" s="1"/>
  <c r="O21" i="162"/>
  <c r="I21" i="162"/>
  <c r="D21" i="162"/>
  <c r="AN20" i="162"/>
  <c r="AM20" i="162"/>
  <c r="AL20" i="162"/>
  <c r="AK20" i="162"/>
  <c r="AJ20" i="162"/>
  <c r="AI20" i="162"/>
  <c r="AH20" i="162"/>
  <c r="AF20" i="162"/>
  <c r="AE20" i="162"/>
  <c r="AD20" i="162"/>
  <c r="AC20" i="162"/>
  <c r="AB20" i="162"/>
  <c r="AA20" i="162"/>
  <c r="Z20" i="162"/>
  <c r="X20" i="162"/>
  <c r="W20" i="162"/>
  <c r="U20" i="162"/>
  <c r="T20" i="162"/>
  <c r="R20" i="162"/>
  <c r="Q20" i="162"/>
  <c r="P20" i="162"/>
  <c r="N20" i="162"/>
  <c r="M20" i="162"/>
  <c r="L20" i="162"/>
  <c r="K20" i="162"/>
  <c r="J20" i="162"/>
  <c r="D20" i="162"/>
  <c r="AO18" i="162"/>
  <c r="I18" i="162"/>
  <c r="D18" i="162"/>
  <c r="AO17" i="162"/>
  <c r="I17" i="162"/>
  <c r="D17" i="162"/>
  <c r="C17" i="162" s="1"/>
  <c r="AL16" i="162"/>
  <c r="AK16" i="162"/>
  <c r="AJ16" i="162"/>
  <c r="AI16" i="162"/>
  <c r="AH16" i="162"/>
  <c r="AG16" i="162"/>
  <c r="AF16" i="162"/>
  <c r="AE16" i="162"/>
  <c r="AD16" i="162"/>
  <c r="AC16" i="162"/>
  <c r="AB16" i="162"/>
  <c r="AA16" i="162"/>
  <c r="Z16" i="162"/>
  <c r="Y16" i="162"/>
  <c r="X16" i="162"/>
  <c r="W16" i="162"/>
  <c r="V16" i="162"/>
  <c r="U16" i="162"/>
  <c r="T16" i="162"/>
  <c r="R16" i="162"/>
  <c r="Q16" i="162"/>
  <c r="N16" i="162"/>
  <c r="M16" i="162"/>
  <c r="L16" i="162"/>
  <c r="K16" i="162"/>
  <c r="J16" i="162"/>
  <c r="D16" i="162"/>
  <c r="AO15" i="162"/>
  <c r="O15" i="162"/>
  <c r="I15" i="162"/>
  <c r="D15" i="162"/>
  <c r="AO14" i="162"/>
  <c r="O14" i="162"/>
  <c r="I14" i="162"/>
  <c r="D14" i="162"/>
  <c r="AL13" i="162"/>
  <c r="AK13" i="162"/>
  <c r="AJ13" i="162"/>
  <c r="AI13" i="162"/>
  <c r="AH13" i="162"/>
  <c r="AG13" i="162"/>
  <c r="AF13" i="162"/>
  <c r="AE13" i="162"/>
  <c r="AD13" i="162"/>
  <c r="AC13" i="162"/>
  <c r="AB13" i="162"/>
  <c r="AA13" i="162"/>
  <c r="Z13" i="162"/>
  <c r="Y13" i="162"/>
  <c r="X13" i="162"/>
  <c r="W13" i="162"/>
  <c r="V13" i="162"/>
  <c r="U13" i="162"/>
  <c r="R13" i="162"/>
  <c r="Q13" i="162"/>
  <c r="P13" i="162"/>
  <c r="N13" i="162"/>
  <c r="M13" i="162"/>
  <c r="L13" i="162"/>
  <c r="K13" i="162"/>
  <c r="J13" i="162"/>
  <c r="H13" i="162"/>
  <c r="G13" i="162"/>
  <c r="F13" i="162"/>
  <c r="E13" i="162"/>
  <c r="AO12" i="162"/>
  <c r="U12" i="162"/>
  <c r="U10" i="162" s="1"/>
  <c r="R12" i="162"/>
  <c r="R10" i="162" s="1"/>
  <c r="P12" i="162"/>
  <c r="O12" i="162" s="1"/>
  <c r="I12" i="162"/>
  <c r="D12" i="162"/>
  <c r="C12" i="162"/>
  <c r="S12" i="162" s="1"/>
  <c r="AN11" i="162"/>
  <c r="AN10" i="162" s="1"/>
  <c r="AM11" i="162"/>
  <c r="AM10" i="162" s="1"/>
  <c r="AL11" i="162"/>
  <c r="AL10" i="162" s="1"/>
  <c r="AK11" i="162"/>
  <c r="AK10" i="162" s="1"/>
  <c r="AJ11" i="162"/>
  <c r="AJ10" i="162" s="1"/>
  <c r="AI11" i="162"/>
  <c r="AI10" i="162" s="1"/>
  <c r="AH11" i="162"/>
  <c r="AH10" i="162" s="1"/>
  <c r="AG11" i="162"/>
  <c r="AG10" i="162" s="1"/>
  <c r="AF11" i="162"/>
  <c r="AF10" i="162" s="1"/>
  <c r="AE11" i="162"/>
  <c r="AE10" i="162" s="1"/>
  <c r="AC11" i="162"/>
  <c r="AC10" i="162" s="1"/>
  <c r="AB11" i="162"/>
  <c r="AB10" i="162" s="1"/>
  <c r="AA11" i="162"/>
  <c r="AA10" i="162" s="1"/>
  <c r="Z11" i="162"/>
  <c r="Z10" i="162" s="1"/>
  <c r="Y11" i="162"/>
  <c r="Y10" i="162" s="1"/>
  <c r="X11" i="162"/>
  <c r="X10" i="162" s="1"/>
  <c r="W11" i="162"/>
  <c r="W10" i="162" s="1"/>
  <c r="V11" i="162"/>
  <c r="V10" i="162" s="1"/>
  <c r="Q11" i="162"/>
  <c r="Q10" i="162" s="1"/>
  <c r="P11" i="162"/>
  <c r="I11" i="162"/>
  <c r="F11" i="162"/>
  <c r="F10" i="162" s="1"/>
  <c r="D11" i="162"/>
  <c r="D10" i="162" s="1"/>
  <c r="C11" i="162"/>
  <c r="AD10" i="162"/>
  <c r="T10" i="162"/>
  <c r="N10" i="162"/>
  <c r="M10" i="162"/>
  <c r="L10" i="162"/>
  <c r="K10" i="162"/>
  <c r="J10" i="162"/>
  <c r="H10" i="162"/>
  <c r="G10" i="162"/>
  <c r="E10" i="162"/>
  <c r="AO9" i="162"/>
  <c r="O9" i="162"/>
  <c r="I9" i="162"/>
  <c r="D9" i="162"/>
  <c r="C9" i="162"/>
  <c r="S9" i="162" s="1"/>
  <c r="V9" i="162" s="1"/>
  <c r="AO8" i="162"/>
  <c r="O8" i="162"/>
  <c r="I8" i="162"/>
  <c r="D8" i="162"/>
  <c r="AN7" i="162"/>
  <c r="AM7" i="162"/>
  <c r="AL7" i="162"/>
  <c r="AK7" i="162"/>
  <c r="AJ7" i="162"/>
  <c r="AI7" i="162"/>
  <c r="AH7" i="162"/>
  <c r="AG7" i="162"/>
  <c r="AF7" i="162"/>
  <c r="AE7" i="162"/>
  <c r="AD7" i="162"/>
  <c r="AC7" i="162"/>
  <c r="AB7" i="162"/>
  <c r="AA7" i="162"/>
  <c r="Z7" i="162"/>
  <c r="Y7" i="162"/>
  <c r="X7" i="162"/>
  <c r="W7" i="162"/>
  <c r="U7" i="162"/>
  <c r="T7" i="162"/>
  <c r="R7" i="162"/>
  <c r="Q7" i="162"/>
  <c r="P7" i="162"/>
  <c r="N7" i="162"/>
  <c r="M7" i="162"/>
  <c r="L7" i="162"/>
  <c r="K7" i="162"/>
  <c r="J7" i="162"/>
  <c r="D7" i="162"/>
  <c r="D13" i="162" l="1"/>
  <c r="X19" i="162"/>
  <c r="O39" i="162"/>
  <c r="C44" i="162"/>
  <c r="AG32" i="162"/>
  <c r="O11" i="162"/>
  <c r="AL19" i="162"/>
  <c r="P10" i="162"/>
  <c r="AI32" i="162"/>
  <c r="AH6" i="162"/>
  <c r="S35" i="162"/>
  <c r="V35" i="162" s="1"/>
  <c r="C21" i="162"/>
  <c r="S21" i="162" s="1"/>
  <c r="V21" i="162" s="1"/>
  <c r="V20" i="162" s="1"/>
  <c r="AA48" i="162"/>
  <c r="AA47" i="162" s="1"/>
  <c r="C28" i="162"/>
  <c r="C54" i="162"/>
  <c r="S54" i="162" s="1"/>
  <c r="V54" i="162" s="1"/>
  <c r="Y32" i="162"/>
  <c r="I10" i="162"/>
  <c r="C14" i="162"/>
  <c r="S14" i="162" s="1"/>
  <c r="C38" i="162"/>
  <c r="S38" i="162" s="1"/>
  <c r="C40" i="162"/>
  <c r="S40" i="162" s="1"/>
  <c r="C49" i="162"/>
  <c r="S49" i="162" s="1"/>
  <c r="V49" i="162" s="1"/>
  <c r="V48" i="162" s="1"/>
  <c r="AK32" i="162"/>
  <c r="I29" i="162"/>
  <c r="C29" i="162" s="1"/>
  <c r="AK19" i="162"/>
  <c r="AE32" i="162"/>
  <c r="X32" i="162"/>
  <c r="C15" i="162"/>
  <c r="D26" i="162"/>
  <c r="C53" i="162"/>
  <c r="S53" i="162" s="1"/>
  <c r="V53" i="162" s="1"/>
  <c r="V52" i="162" s="1"/>
  <c r="E11" i="133"/>
  <c r="AD11" i="133" s="1"/>
  <c r="I26" i="162"/>
  <c r="AP12" i="162"/>
  <c r="C8" i="162"/>
  <c r="S8" i="162" s="1"/>
  <c r="V8" i="162" s="1"/>
  <c r="V7" i="162" s="1"/>
  <c r="O13" i="162"/>
  <c r="F23" i="162"/>
  <c r="P23" i="162"/>
  <c r="C34" i="162"/>
  <c r="S34" i="162" s="1"/>
  <c r="V34" i="162" s="1"/>
  <c r="AD58" i="162"/>
  <c r="O7" i="162"/>
  <c r="AE58" i="162"/>
  <c r="AA32" i="162"/>
  <c r="I42" i="162"/>
  <c r="C42" i="162" s="1"/>
  <c r="D36" i="162"/>
  <c r="C31" i="162"/>
  <c r="P31" i="162" s="1"/>
  <c r="O31" i="162" s="1"/>
  <c r="S31" i="162" s="1"/>
  <c r="AI19" i="162"/>
  <c r="C30" i="162"/>
  <c r="P30" i="162" s="1"/>
  <c r="AC6" i="162"/>
  <c r="I36" i="162"/>
  <c r="AA57" i="162"/>
  <c r="AA55" i="162" s="1"/>
  <c r="I33" i="162"/>
  <c r="C33" i="162" s="1"/>
  <c r="Z19" i="162"/>
  <c r="I23" i="162"/>
  <c r="I52" i="162"/>
  <c r="C52" i="162" s="1"/>
  <c r="S52" i="162" s="1"/>
  <c r="AG20" i="162"/>
  <c r="AG19" i="162" s="1"/>
  <c r="AJ19" i="162"/>
  <c r="I48" i="162"/>
  <c r="C48" i="162" s="1"/>
  <c r="S48" i="162" s="1"/>
  <c r="AL6" i="162"/>
  <c r="I20" i="162"/>
  <c r="C20" i="162" s="1"/>
  <c r="S20" i="162" s="1"/>
  <c r="Z32" i="162"/>
  <c r="AH19" i="162"/>
  <c r="C10" i="162"/>
  <c r="C18" i="162"/>
  <c r="P18" i="162" s="1"/>
  <c r="O18" i="162" s="1"/>
  <c r="S18" i="162" s="1"/>
  <c r="AJ32" i="162"/>
  <c r="D23" i="162"/>
  <c r="C24" i="162"/>
  <c r="AE6" i="162"/>
  <c r="AD19" i="162"/>
  <c r="P36" i="162"/>
  <c r="AB32" i="162"/>
  <c r="AG6" i="162"/>
  <c r="AM19" i="162"/>
  <c r="C41" i="162"/>
  <c r="S41" i="162" s="1"/>
  <c r="AO52" i="162"/>
  <c r="AI6" i="162"/>
  <c r="X6" i="162"/>
  <c r="AJ6" i="162"/>
  <c r="O20" i="162"/>
  <c r="AA19" i="162"/>
  <c r="AN19" i="162"/>
  <c r="AO26" i="162"/>
  <c r="O33" i="162"/>
  <c r="AF32" i="162"/>
  <c r="O37" i="162"/>
  <c r="O36" i="162" s="1"/>
  <c r="AL58" i="162"/>
  <c r="AL55" i="162"/>
  <c r="AF6" i="162"/>
  <c r="Y6" i="162"/>
  <c r="AK6" i="162"/>
  <c r="AB19" i="162"/>
  <c r="O25" i="162"/>
  <c r="S25" i="162" s="1"/>
  <c r="C27" i="162"/>
  <c r="C26" i="162" s="1"/>
  <c r="AO29" i="162"/>
  <c r="AO35" i="162"/>
  <c r="AH32" i="162"/>
  <c r="AM58" i="162"/>
  <c r="AM55" i="162"/>
  <c r="AC19" i="162"/>
  <c r="AC32" i="162"/>
  <c r="AO13" i="162"/>
  <c r="AD32" i="162"/>
  <c r="AO39" i="162"/>
  <c r="AO16" i="162"/>
  <c r="AF19" i="162"/>
  <c r="O26" i="162"/>
  <c r="AO42" i="162"/>
  <c r="I7" i="162"/>
  <c r="C7" i="162" s="1"/>
  <c r="S7" i="162" s="1"/>
  <c r="O24" i="162"/>
  <c r="AE19" i="162"/>
  <c r="O52" i="162"/>
  <c r="AD6" i="162"/>
  <c r="I13" i="162"/>
  <c r="I16" i="162"/>
  <c r="C16" i="162" s="1"/>
  <c r="AO36" i="162"/>
  <c r="I39" i="162"/>
  <c r="C43" i="162"/>
  <c r="P43" i="162" s="1"/>
  <c r="AG58" i="162"/>
  <c r="AG55" i="162"/>
  <c r="AC58" i="162"/>
  <c r="J22" i="165"/>
  <c r="C20" i="165"/>
  <c r="C19" i="165" s="1"/>
  <c r="AB6" i="162"/>
  <c r="Z6" i="162"/>
  <c r="O10" i="162"/>
  <c r="T28" i="162"/>
  <c r="T26" i="162" s="1"/>
  <c r="S28" i="162"/>
  <c r="AN6" i="162"/>
  <c r="AM6" i="162"/>
  <c r="AO33" i="162"/>
  <c r="AA6" i="162"/>
  <c r="AO10" i="162"/>
  <c r="C13" i="162"/>
  <c r="T15" i="162"/>
  <c r="T13" i="162" s="1"/>
  <c r="S15" i="162"/>
  <c r="P44" i="162"/>
  <c r="O44" i="162" s="1"/>
  <c r="S44" i="162" s="1"/>
  <c r="Y20" i="162"/>
  <c r="Y19" i="162" s="1"/>
  <c r="AH58" i="162"/>
  <c r="AO24" i="162"/>
  <c r="P17" i="162"/>
  <c r="AO7" i="162"/>
  <c r="X51" i="162"/>
  <c r="AO51" i="162" s="1"/>
  <c r="AI58" i="162"/>
  <c r="AO11" i="162"/>
  <c r="AP13" i="162" s="1"/>
  <c r="AJ58" i="162"/>
  <c r="AK58" i="162"/>
  <c r="S11" i="162"/>
  <c r="S10" i="162" s="1"/>
  <c r="AO57" i="162"/>
  <c r="D39" i="162"/>
  <c r="X47" i="162"/>
  <c r="V33" i="162" l="1"/>
  <c r="C36" i="162"/>
  <c r="AO48" i="162"/>
  <c r="AO47" i="162"/>
  <c r="S37" i="162"/>
  <c r="S36" i="162" s="1"/>
  <c r="S27" i="162"/>
  <c r="AO55" i="162"/>
  <c r="S13" i="162"/>
  <c r="C39" i="162"/>
  <c r="S33" i="162"/>
  <c r="T41" i="162"/>
  <c r="T39" i="162" s="1"/>
  <c r="AO32" i="162"/>
  <c r="AO58" i="162"/>
  <c r="AO6" i="162"/>
  <c r="O23" i="162"/>
  <c r="S39" i="162"/>
  <c r="AO19" i="162"/>
  <c r="S24" i="162"/>
  <c r="S23" i="162" s="1"/>
  <c r="C23" i="162"/>
  <c r="S26" i="162"/>
  <c r="D22" i="165"/>
  <c r="J21" i="165"/>
  <c r="P16" i="162"/>
  <c r="O16" i="162" s="1"/>
  <c r="S16" i="162" s="1"/>
  <c r="O17" i="162"/>
  <c r="S17" i="162" s="1"/>
  <c r="O30" i="162"/>
  <c r="S30" i="162" s="1"/>
  <c r="P29" i="162"/>
  <c r="O29" i="162" s="1"/>
  <c r="S29" i="162" s="1"/>
  <c r="O43" i="162"/>
  <c r="S43" i="162" s="1"/>
  <c r="P42" i="162"/>
  <c r="O42" i="162" s="1"/>
  <c r="S42" i="162" s="1"/>
  <c r="AP19" i="162" l="1"/>
  <c r="D21" i="165"/>
  <c r="T21" i="165" s="1"/>
  <c r="T22" i="165"/>
  <c r="K38" i="80" l="1"/>
  <c r="F67" i="80" l="1"/>
  <c r="F61" i="80" l="1"/>
  <c r="H44" i="80"/>
  <c r="K39" i="80" l="1"/>
  <c r="K36" i="80" l="1"/>
  <c r="G38" i="80" l="1"/>
  <c r="J20" i="165"/>
  <c r="F38" i="80" l="1"/>
  <c r="J19" i="165"/>
  <c r="D20" i="165"/>
  <c r="D19" i="165" l="1"/>
  <c r="T19" i="165" s="1"/>
  <c r="T20" i="165"/>
  <c r="G33" i="80" l="1"/>
  <c r="K33" i="80"/>
  <c r="D14" i="165" l="1"/>
  <c r="D8" i="165" s="1"/>
  <c r="K35" i="80"/>
  <c r="G45" i="80" l="1"/>
  <c r="G35" i="80"/>
  <c r="D7" i="165"/>
  <c r="G36" i="80"/>
  <c r="G44" i="80" l="1"/>
  <c r="F45" i="80"/>
  <c r="F44" i="80" s="1"/>
  <c r="C14" i="165"/>
  <c r="C8" i="165" l="1"/>
  <c r="T14" i="165"/>
  <c r="G39" i="80"/>
  <c r="F39" i="80" l="1"/>
  <c r="C7" i="165"/>
  <c r="T8" i="165"/>
  <c r="U7" i="165" l="1"/>
  <c r="T7" i="165"/>
  <c r="D13" i="152" l="1"/>
  <c r="J22" i="152" s="1"/>
  <c r="J15" i="152" s="1"/>
  <c r="J6" i="152" s="1"/>
  <c r="D11" i="152"/>
  <c r="I15" i="152"/>
  <c r="K15" i="152"/>
  <c r="L15" i="152"/>
  <c r="H17" i="152"/>
  <c r="H18" i="152"/>
  <c r="H19" i="152"/>
  <c r="M15" i="152"/>
  <c r="M11" i="152" s="1"/>
  <c r="N15" i="152"/>
  <c r="N11" i="152" s="1"/>
  <c r="H16" i="152"/>
  <c r="E11" i="152"/>
  <c r="F11" i="152"/>
  <c r="G11" i="152"/>
  <c r="H11" i="152"/>
  <c r="I11" i="152"/>
  <c r="J11" i="152"/>
  <c r="K11" i="152"/>
  <c r="L11" i="152"/>
  <c r="C12" i="152"/>
  <c r="D7" i="152"/>
  <c r="E7" i="152"/>
  <c r="F7" i="152"/>
  <c r="G7" i="152"/>
  <c r="H7" i="152"/>
  <c r="I7" i="152"/>
  <c r="J7" i="152"/>
  <c r="K7" i="152"/>
  <c r="M7" i="152"/>
  <c r="N7" i="152"/>
  <c r="X16" i="133" l="1"/>
  <c r="X11" i="133" s="1"/>
  <c r="U16" i="133"/>
  <c r="U11" i="133" s="1"/>
  <c r="R16" i="133"/>
  <c r="R11" i="133" s="1"/>
  <c r="L16" i="133"/>
  <c r="L11" i="133" s="1"/>
  <c r="I16" i="133"/>
  <c r="I11" i="133" s="1"/>
  <c r="F16" i="133"/>
  <c r="F11" i="133" s="1"/>
  <c r="C16" i="133" l="1"/>
  <c r="C11" i="133" s="1"/>
  <c r="O16" i="133"/>
  <c r="O11" i="133" s="1"/>
  <c r="AB11" i="133" l="1"/>
  <c r="AB16" i="133"/>
  <c r="C39" i="80" l="1"/>
  <c r="C38" i="80"/>
  <c r="I38" i="80" s="1"/>
  <c r="E37" i="80"/>
  <c r="D37" i="80"/>
  <c r="F18" i="80"/>
  <c r="C16" i="80"/>
  <c r="C16" i="78" s="1"/>
  <c r="C17" i="80"/>
  <c r="C18" i="80"/>
  <c r="I39" i="80" l="1"/>
  <c r="C37" i="80"/>
  <c r="C36" i="78"/>
  <c r="K10" i="81" l="1"/>
  <c r="K9" i="81" s="1"/>
  <c r="D38" i="78" l="1"/>
  <c r="E38" i="78" l="1"/>
  <c r="H37" i="80" l="1"/>
  <c r="K37" i="80" s="1"/>
  <c r="G37" i="80"/>
  <c r="D37" i="78" l="1"/>
  <c r="E37" i="78" s="1"/>
  <c r="F37" i="80" l="1"/>
  <c r="I37" i="80" s="1"/>
  <c r="D36" i="78"/>
  <c r="E36" i="78" s="1"/>
  <c r="F33" i="80" l="1"/>
  <c r="I33" i="80" s="1"/>
  <c r="D32" i="78" l="1"/>
  <c r="H23" i="152" l="1"/>
  <c r="H22" i="152"/>
  <c r="H21" i="152"/>
  <c r="H20" i="152"/>
  <c r="K6" i="152"/>
  <c r="C14" i="152"/>
  <c r="C13" i="152"/>
  <c r="C11" i="152" s="1"/>
  <c r="C10" i="152"/>
  <c r="C9" i="152" s="1"/>
  <c r="D9" i="152"/>
  <c r="D6" i="152" s="1"/>
  <c r="L8" i="152"/>
  <c r="L7" i="152" s="1"/>
  <c r="C8" i="152"/>
  <c r="C7" i="152" s="1"/>
  <c r="G6" i="152"/>
  <c r="F6" i="152"/>
  <c r="C6" i="152" l="1"/>
  <c r="H15" i="152"/>
  <c r="I6" i="152"/>
  <c r="M6" i="152" s="1"/>
  <c r="E6" i="152"/>
  <c r="N6" i="152" s="1"/>
  <c r="H6" i="152"/>
  <c r="L6" i="152" l="1"/>
  <c r="D19" i="91" l="1"/>
  <c r="D21" i="91"/>
  <c r="E10" i="91"/>
  <c r="E41" i="80" l="1"/>
  <c r="E40" i="80" s="1"/>
  <c r="H41" i="80"/>
  <c r="H40" i="80" s="1"/>
  <c r="F43" i="80"/>
  <c r="K40" i="80" l="1"/>
  <c r="K41" i="80"/>
  <c r="G41" i="80"/>
  <c r="G40" i="80" s="1"/>
  <c r="C73" i="78" l="1"/>
  <c r="F12" i="80" l="1"/>
  <c r="F13" i="80"/>
  <c r="R14" i="81" l="1"/>
  <c r="C14" i="81"/>
  <c r="P14" i="81" l="1"/>
  <c r="C14" i="85"/>
  <c r="R14" i="85" s="1"/>
  <c r="F38" i="77"/>
  <c r="F37" i="77"/>
  <c r="C12" i="75"/>
  <c r="F11" i="80" l="1"/>
  <c r="G32" i="80" l="1"/>
  <c r="F32" i="80" l="1"/>
  <c r="D31" i="78" s="1"/>
  <c r="H31" i="80"/>
  <c r="G34" i="80" l="1"/>
  <c r="C50" i="80" l="1"/>
  <c r="C70" i="78" s="1"/>
  <c r="C51" i="80"/>
  <c r="C54" i="80"/>
  <c r="C57" i="80"/>
  <c r="C60" i="80"/>
  <c r="C56" i="80"/>
  <c r="C53" i="80"/>
  <c r="C52" i="80"/>
  <c r="C47" i="80"/>
  <c r="C67" i="78" s="1"/>
  <c r="C48" i="80"/>
  <c r="C68" i="78" s="1"/>
  <c r="C49" i="80"/>
  <c r="C69" i="78" s="1"/>
  <c r="D31" i="80"/>
  <c r="C35" i="80"/>
  <c r="C46" i="80" l="1"/>
  <c r="C43" i="78" s="1"/>
  <c r="T22" i="83" l="1"/>
  <c r="T21" i="83"/>
  <c r="T19" i="83"/>
  <c r="T18" i="83"/>
  <c r="T16" i="83"/>
  <c r="T12" i="83"/>
  <c r="T11" i="83"/>
  <c r="T10" i="83"/>
  <c r="T9" i="83"/>
  <c r="T20" i="83" l="1"/>
  <c r="C12" i="80" l="1"/>
  <c r="C13" i="80"/>
  <c r="C19" i="80"/>
  <c r="C10" i="80" s="1"/>
  <c r="C21" i="80"/>
  <c r="C27" i="80"/>
  <c r="C28" i="80"/>
  <c r="C74" i="80"/>
  <c r="C55" i="80" l="1"/>
  <c r="C59" i="80" l="1"/>
  <c r="C58" i="80"/>
  <c r="D62" i="77" l="1"/>
  <c r="E23" i="77" l="1"/>
  <c r="E32" i="78" l="1"/>
  <c r="C30" i="78" l="1"/>
  <c r="E13" i="79" l="1"/>
  <c r="C36" i="80" l="1"/>
  <c r="G31" i="80" l="1"/>
  <c r="G30" i="80" l="1"/>
  <c r="G29" i="80" s="1"/>
  <c r="F31" i="80"/>
  <c r="F35" i="80"/>
  <c r="D34" i="78" l="1"/>
  <c r="I35" i="80"/>
  <c r="E34" i="78" l="1"/>
  <c r="D28" i="75"/>
  <c r="F28" i="75" s="1"/>
  <c r="I12" i="81" l="1"/>
  <c r="I12" i="85" l="1"/>
  <c r="L12" i="85" l="1"/>
  <c r="D30" i="78"/>
  <c r="E30" i="78" s="1"/>
  <c r="T12" i="85" l="1"/>
  <c r="C42" i="80"/>
  <c r="C41" i="80" l="1"/>
  <c r="C40" i="80" s="1"/>
  <c r="H63" i="77"/>
  <c r="C62" i="77"/>
  <c r="G26" i="77"/>
  <c r="G24" i="77"/>
  <c r="G63" i="77"/>
  <c r="F12" i="81"/>
  <c r="E15" i="75"/>
  <c r="F15" i="81"/>
  <c r="C15" i="81" s="1"/>
  <c r="C15" i="85" s="1"/>
  <c r="R15" i="85" s="1"/>
  <c r="F16" i="81"/>
  <c r="C16" i="81" s="1"/>
  <c r="C16" i="85" s="1"/>
  <c r="F17" i="81"/>
  <c r="C17" i="81" s="1"/>
  <c r="C17" i="85" s="1"/>
  <c r="F18" i="81"/>
  <c r="C18" i="81" s="1"/>
  <c r="F21" i="81"/>
  <c r="C21" i="81" s="1"/>
  <c r="C21" i="85" s="1"/>
  <c r="F22" i="81"/>
  <c r="C22" i="81" s="1"/>
  <c r="C22" i="85" s="1"/>
  <c r="F23" i="81"/>
  <c r="C23" i="81" s="1"/>
  <c r="C23" i="85" s="1"/>
  <c r="F24" i="81"/>
  <c r="C24" i="81" s="1"/>
  <c r="C24" i="85" s="1"/>
  <c r="F25" i="81"/>
  <c r="C25" i="81" s="1"/>
  <c r="C25" i="85" s="1"/>
  <c r="F19" i="81"/>
  <c r="C19" i="81" s="1"/>
  <c r="C19" i="85" s="1"/>
  <c r="R19" i="85" s="1"/>
  <c r="C9" i="75"/>
  <c r="C8" i="75" s="1"/>
  <c r="F26" i="80"/>
  <c r="A1" i="77"/>
  <c r="K26" i="80"/>
  <c r="A1" i="80"/>
  <c r="A1" i="91" s="1"/>
  <c r="E22" i="75"/>
  <c r="E25" i="75"/>
  <c r="F27" i="80"/>
  <c r="E29" i="79"/>
  <c r="E30" i="79"/>
  <c r="E31" i="79"/>
  <c r="E37" i="79"/>
  <c r="E38" i="79"/>
  <c r="E39" i="79"/>
  <c r="A1" i="81"/>
  <c r="A1" i="78"/>
  <c r="A1" i="79"/>
  <c r="E23" i="79"/>
  <c r="E14" i="79"/>
  <c r="E18" i="79"/>
  <c r="E19" i="79"/>
  <c r="E20" i="79"/>
  <c r="E22" i="79"/>
  <c r="E25" i="79"/>
  <c r="E26" i="79"/>
  <c r="E32" i="79"/>
  <c r="E33" i="79"/>
  <c r="E34" i="79"/>
  <c r="E36" i="79"/>
  <c r="E40" i="79"/>
  <c r="E41" i="79"/>
  <c r="A1" i="76"/>
  <c r="G34" i="77"/>
  <c r="D40" i="77"/>
  <c r="D13" i="77"/>
  <c r="D11" i="77" s="1"/>
  <c r="D22" i="77"/>
  <c r="D30" i="77"/>
  <c r="D43" i="77"/>
  <c r="D44" i="77"/>
  <c r="D45" i="77"/>
  <c r="D48" i="77"/>
  <c r="D49" i="77"/>
  <c r="D50" i="77"/>
  <c r="D52" i="77"/>
  <c r="D53" i="77"/>
  <c r="D60" i="77"/>
  <c r="D61" i="77"/>
  <c r="F23" i="77"/>
  <c r="F51" i="77"/>
  <c r="D65" i="77"/>
  <c r="D66" i="77"/>
  <c r="D31" i="77"/>
  <c r="D32" i="77"/>
  <c r="D35" i="77"/>
  <c r="D36" i="77"/>
  <c r="D37" i="77"/>
  <c r="D38" i="77"/>
  <c r="D54" i="77"/>
  <c r="D55" i="77"/>
  <c r="D56" i="77"/>
  <c r="D57" i="77"/>
  <c r="D58" i="77"/>
  <c r="D59" i="77"/>
  <c r="E101" i="74"/>
  <c r="E100" i="74"/>
  <c r="E99" i="74"/>
  <c r="E98" i="74"/>
  <c r="E97" i="74"/>
  <c r="E96" i="74"/>
  <c r="E95" i="74"/>
  <c r="E94" i="74"/>
  <c r="E93" i="74"/>
  <c r="E92" i="74"/>
  <c r="E91" i="74"/>
  <c r="E87" i="74"/>
  <c r="E86" i="74"/>
  <c r="E85" i="74"/>
  <c r="E83" i="74"/>
  <c r="E78" i="74"/>
  <c r="E77" i="74"/>
  <c r="E62" i="74"/>
  <c r="E61" i="74"/>
  <c r="E60" i="74"/>
  <c r="E59" i="74"/>
  <c r="E58" i="74"/>
  <c r="E57" i="74"/>
  <c r="E56" i="74"/>
  <c r="E55" i="74"/>
  <c r="E54" i="74"/>
  <c r="E52" i="74"/>
  <c r="E51" i="74"/>
  <c r="E50" i="74"/>
  <c r="E49" i="74"/>
  <c r="E48" i="74"/>
  <c r="E41" i="74"/>
  <c r="E38" i="74"/>
  <c r="E37" i="74"/>
  <c r="E36" i="74"/>
  <c r="E35" i="74"/>
  <c r="E34" i="74"/>
  <c r="E33" i="74"/>
  <c r="E32" i="74"/>
  <c r="E31" i="74"/>
  <c r="E30" i="74"/>
  <c r="E29" i="74"/>
  <c r="E28" i="74"/>
  <c r="E27" i="74"/>
  <c r="E26" i="74"/>
  <c r="E25" i="74"/>
  <c r="E24" i="74"/>
  <c r="E23" i="74"/>
  <c r="E22" i="74"/>
  <c r="E21" i="74"/>
  <c r="E20" i="74"/>
  <c r="E19" i="74"/>
  <c r="E18" i="74"/>
  <c r="E17" i="74"/>
  <c r="E15" i="74"/>
  <c r="E14" i="74"/>
  <c r="E13" i="74"/>
  <c r="E12" i="74"/>
  <c r="E11" i="74"/>
  <c r="E9" i="74"/>
  <c r="E8" i="74"/>
  <c r="E7" i="74"/>
  <c r="E6" i="74"/>
  <c r="E35" i="79"/>
  <c r="C47" i="76"/>
  <c r="P18" i="81" l="1"/>
  <c r="C18" i="85"/>
  <c r="R18" i="85" s="1"/>
  <c r="F10" i="81"/>
  <c r="F9" i="81" s="1"/>
  <c r="A1" i="90"/>
  <c r="A1" i="176"/>
  <c r="F10" i="77"/>
  <c r="F9" i="77" s="1"/>
  <c r="C83" i="78"/>
  <c r="S12" i="81"/>
  <c r="I16" i="81"/>
  <c r="S16" i="81"/>
  <c r="S13" i="81"/>
  <c r="A1" i="165"/>
  <c r="F28" i="80"/>
  <c r="G9" i="80"/>
  <c r="F9" i="80" s="1"/>
  <c r="E11" i="75"/>
  <c r="S11" i="81"/>
  <c r="G33" i="77"/>
  <c r="R15" i="81"/>
  <c r="F62" i="77"/>
  <c r="H62" i="77" s="1"/>
  <c r="D9" i="80"/>
  <c r="C23" i="77"/>
  <c r="C10" i="77" s="1"/>
  <c r="G46" i="77"/>
  <c r="E62" i="77"/>
  <c r="G62" i="77" s="1"/>
  <c r="G42" i="77"/>
  <c r="E10" i="77"/>
  <c r="I26" i="80"/>
  <c r="E17" i="75"/>
  <c r="E14" i="75"/>
  <c r="E12" i="75"/>
  <c r="E13" i="75"/>
  <c r="G29" i="77"/>
  <c r="A1" i="122" l="1"/>
  <c r="A1" i="179"/>
  <c r="I16" i="85"/>
  <c r="C12" i="81"/>
  <c r="E10" i="81"/>
  <c r="E9" i="81" s="1"/>
  <c r="F8" i="77"/>
  <c r="G10" i="77"/>
  <c r="I21" i="81"/>
  <c r="I21" i="85" s="1"/>
  <c r="C11" i="79"/>
  <c r="C9" i="77"/>
  <c r="C8" i="77" s="1"/>
  <c r="P15" i="81"/>
  <c r="R12" i="81"/>
  <c r="D23" i="77"/>
  <c r="G23" i="77"/>
  <c r="R21" i="81"/>
  <c r="H34" i="80"/>
  <c r="E9" i="91"/>
  <c r="F12" i="75"/>
  <c r="E10" i="75"/>
  <c r="I22" i="81"/>
  <c r="I22" i="85" s="1"/>
  <c r="I25" i="81"/>
  <c r="I25" i="85" s="1"/>
  <c r="I24" i="81"/>
  <c r="I24" i="85" s="1"/>
  <c r="I23" i="81"/>
  <c r="I23" i="85" s="1"/>
  <c r="C10" i="79" l="1"/>
  <c r="E11" i="79"/>
  <c r="L25" i="85"/>
  <c r="T25" i="85" s="1"/>
  <c r="R25" i="85"/>
  <c r="L22" i="85"/>
  <c r="R22" i="85"/>
  <c r="L21" i="85"/>
  <c r="R21" i="85"/>
  <c r="C12" i="85"/>
  <c r="L23" i="85"/>
  <c r="T23" i="85" s="1"/>
  <c r="R23" i="85"/>
  <c r="L24" i="85"/>
  <c r="T24" i="85" s="1"/>
  <c r="R24" i="85"/>
  <c r="R16" i="85"/>
  <c r="L16" i="85"/>
  <c r="P12" i="81"/>
  <c r="P21" i="81"/>
  <c r="D10" i="77"/>
  <c r="D9" i="77" s="1"/>
  <c r="D8" i="77" s="1"/>
  <c r="H30" i="80"/>
  <c r="H29" i="80" s="1"/>
  <c r="P22" i="81"/>
  <c r="E24" i="75"/>
  <c r="P24" i="81"/>
  <c r="E9" i="75"/>
  <c r="P11" i="81"/>
  <c r="R16" i="81"/>
  <c r="R23" i="81"/>
  <c r="P20" i="81"/>
  <c r="R20" i="81"/>
  <c r="R24" i="81"/>
  <c r="R18" i="81"/>
  <c r="P23" i="81"/>
  <c r="R22" i="81"/>
  <c r="R11" i="81"/>
  <c r="P25" i="81"/>
  <c r="R25" i="81"/>
  <c r="P16" i="81"/>
  <c r="C22" i="80"/>
  <c r="I22" i="80" s="1"/>
  <c r="E8" i="75"/>
  <c r="K31" i="80"/>
  <c r="F36" i="80"/>
  <c r="E8" i="77"/>
  <c r="T16" i="85" l="1"/>
  <c r="M22" i="85"/>
  <c r="T22" i="85"/>
  <c r="M21" i="85"/>
  <c r="T21" i="85"/>
  <c r="R12" i="85"/>
  <c r="D35" i="78"/>
  <c r="I36" i="80"/>
  <c r="C31" i="80"/>
  <c r="I31" i="80" s="1"/>
  <c r="F34" i="80"/>
  <c r="F10" i="80"/>
  <c r="S10" i="81"/>
  <c r="S9" i="81"/>
  <c r="F8" i="75"/>
  <c r="D34" i="80"/>
  <c r="H8" i="77"/>
  <c r="F30" i="80" l="1"/>
  <c r="D30" i="80"/>
  <c r="D29" i="80" s="1"/>
  <c r="E35" i="78"/>
  <c r="D29" i="75"/>
  <c r="F29" i="75" s="1"/>
  <c r="D33" i="78"/>
  <c r="E34" i="80"/>
  <c r="K34" i="80" s="1"/>
  <c r="G8" i="77"/>
  <c r="G9" i="77"/>
  <c r="R11" i="178" l="1"/>
  <c r="D29" i="78"/>
  <c r="C34" i="80"/>
  <c r="I34" i="80" s="1"/>
  <c r="E30" i="80"/>
  <c r="E29" i="80" s="1"/>
  <c r="C30" i="80" l="1"/>
  <c r="C29" i="80" s="1"/>
  <c r="K30" i="80"/>
  <c r="C33" i="78"/>
  <c r="C29" i="78" s="1"/>
  <c r="C28" i="78" l="1"/>
  <c r="J11" i="178"/>
  <c r="I30" i="80"/>
  <c r="E9" i="80"/>
  <c r="E8" i="80" s="1"/>
  <c r="C8" i="79" s="1"/>
  <c r="K29" i="80"/>
  <c r="E33" i="78"/>
  <c r="E28" i="75"/>
  <c r="E29" i="75"/>
  <c r="F27" i="75"/>
  <c r="Z11" i="178" l="1"/>
  <c r="G11" i="178"/>
  <c r="E29" i="78"/>
  <c r="E11" i="178" l="1"/>
  <c r="K20" i="80"/>
  <c r="K9" i="80" l="1"/>
  <c r="F42" i="80" l="1"/>
  <c r="I42" i="80" s="1"/>
  <c r="F41" i="80" l="1"/>
  <c r="I41" i="80" l="1"/>
  <c r="D40" i="78"/>
  <c r="D39" i="78" s="1"/>
  <c r="F40" i="80"/>
  <c r="E39" i="78"/>
  <c r="Q11" i="178" l="1"/>
  <c r="O11" i="178" s="1"/>
  <c r="F29" i="80"/>
  <c r="E40" i="78"/>
  <c r="M11" i="178" l="1"/>
  <c r="W11" i="178"/>
  <c r="I11" i="80"/>
  <c r="K11" i="178" l="1"/>
  <c r="U11" i="178"/>
  <c r="E10" i="78"/>
  <c r="E9" i="78" l="1"/>
  <c r="F20" i="75" l="1"/>
  <c r="E20" i="75"/>
  <c r="I10" i="80"/>
  <c r="R10" i="81" l="1"/>
  <c r="R9" i="81"/>
  <c r="I40" i="80" l="1"/>
  <c r="C9" i="80" l="1"/>
  <c r="C8" i="78" s="1"/>
  <c r="C7" i="78" s="1"/>
  <c r="D8" i="80" l="1"/>
  <c r="C8" i="80" s="1"/>
  <c r="C19" i="75" l="1"/>
  <c r="C18" i="75" l="1"/>
  <c r="D11" i="178"/>
  <c r="I20" i="80"/>
  <c r="T11" i="178" l="1"/>
  <c r="C11" i="178"/>
  <c r="S11" i="178" s="1"/>
  <c r="E19" i="78"/>
  <c r="I9" i="80"/>
  <c r="E8" i="78"/>
  <c r="F19" i="75" l="1"/>
  <c r="E19" i="75"/>
  <c r="F21" i="75"/>
  <c r="E21" i="75"/>
  <c r="C17" i="91" l="1"/>
  <c r="C18" i="91"/>
  <c r="C16" i="91"/>
  <c r="D8" i="91"/>
  <c r="C20" i="91"/>
  <c r="C8" i="91" l="1"/>
  <c r="C42" i="78" l="1"/>
  <c r="H11" i="168" l="1"/>
  <c r="D42" i="78" l="1"/>
  <c r="D41" i="78" s="1"/>
  <c r="D30" i="75" s="1"/>
  <c r="E30" i="75" s="1"/>
  <c r="D26" i="75" l="1"/>
  <c r="D18" i="75" s="1"/>
  <c r="E26" i="75"/>
  <c r="F30" i="75"/>
  <c r="G8" i="80"/>
  <c r="D28" i="78" l="1"/>
  <c r="D7" i="78" s="1"/>
  <c r="I29" i="80"/>
  <c r="E28" i="78" l="1"/>
  <c r="F26" i="75" l="1"/>
  <c r="R19" i="81" l="1"/>
  <c r="U17" i="83"/>
  <c r="T17" i="83"/>
  <c r="P19" i="81" l="1"/>
  <c r="U13" i="83"/>
  <c r="D8" i="83"/>
  <c r="T8" i="83" s="1"/>
  <c r="I17" i="81"/>
  <c r="R17" i="81"/>
  <c r="T14" i="83"/>
  <c r="Q14" i="83"/>
  <c r="Q8" i="83" s="1"/>
  <c r="U14" i="83"/>
  <c r="T13" i="83"/>
  <c r="T15" i="83"/>
  <c r="E15" i="83"/>
  <c r="E8" i="83" s="1"/>
  <c r="U15" i="83"/>
  <c r="Q13" i="83"/>
  <c r="Q9" i="81"/>
  <c r="C13" i="81"/>
  <c r="E150" i="122"/>
  <c r="E10" i="122" s="1"/>
  <c r="D153" i="122"/>
  <c r="P17" i="81" l="1"/>
  <c r="I17" i="85"/>
  <c r="I10" i="81"/>
  <c r="P13" i="81"/>
  <c r="C13" i="85"/>
  <c r="C10" i="81"/>
  <c r="C9" i="81" s="1"/>
  <c r="U8" i="83"/>
  <c r="D151" i="122"/>
  <c r="D150" i="122" s="1"/>
  <c r="D10" i="122" s="1"/>
  <c r="C153" i="122"/>
  <c r="C151" i="122" s="1"/>
  <c r="R13" i="85" l="1"/>
  <c r="C10" i="85"/>
  <c r="I9" i="81"/>
  <c r="P9" i="81" s="1"/>
  <c r="P10" i="81"/>
  <c r="L17" i="85"/>
  <c r="R17" i="85"/>
  <c r="I10" i="85"/>
  <c r="R10" i="85" s="1"/>
  <c r="C150" i="122"/>
  <c r="R153" i="122"/>
  <c r="M17" i="85" l="1"/>
  <c r="M10" i="85" s="1"/>
  <c r="T17" i="85"/>
  <c r="L10" i="85"/>
  <c r="T10" i="85" s="1"/>
  <c r="C10" i="122"/>
  <c r="S153" i="122"/>
  <c r="S151" i="122" s="1"/>
  <c r="S150" i="122" s="1"/>
  <c r="S10" i="122" s="1"/>
  <c r="R151" i="122"/>
  <c r="R150" i="122" s="1"/>
  <c r="R10" i="122" s="1"/>
  <c r="E18" i="75"/>
  <c r="D38" i="76"/>
  <c r="D33" i="76" s="1"/>
  <c r="D71" i="78"/>
  <c r="E7" i="78" s="1"/>
  <c r="H74" i="80" l="1"/>
  <c r="F18" i="75"/>
  <c r="H8" i="80" l="1"/>
  <c r="D48" i="79"/>
  <c r="D10" i="79" s="1"/>
  <c r="F74" i="80"/>
  <c r="F10" i="79" l="1"/>
  <c r="D8" i="79"/>
  <c r="E10" i="79"/>
  <c r="F8" i="80"/>
  <c r="I8" i="80" s="1"/>
  <c r="K8" i="80"/>
  <c r="F8" i="79" l="1"/>
  <c r="E8" i="7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GP</author>
  </authors>
  <commentList>
    <comment ref="C5" authorId="0" shapeId="0" xr:uid="{00000000-0006-0000-1300-000001000000}">
      <text>
        <r>
          <rPr>
            <sz val="9"/>
            <color indexed="81"/>
            <rFont val="Tahoma"/>
            <family val="2"/>
          </rPr>
          <t xml:space="preserve">Các đơn vị không thay đổi số dư đầu kỳ
</t>
        </r>
      </text>
    </comment>
    <comment ref="I21" authorId="0" shapeId="0" xr:uid="{F12E1307-9E4C-489E-929C-E68B0DCB8B7E}">
      <text>
        <r>
          <rPr>
            <b/>
            <sz val="9"/>
            <color indexed="81"/>
            <rFont val="Segoe UI"/>
            <family val="2"/>
          </rPr>
          <t>GP:</t>
        </r>
        <r>
          <rPr>
            <sz val="9"/>
            <color indexed="81"/>
            <rFont val="Segoe UI"/>
            <family val="2"/>
          </rPr>
          <t xml:space="preserve">
NS tiết kiệm chi của huyện cũ chuyển về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GP</author>
  </authors>
  <commentList>
    <comment ref="I162" authorId="0" shapeId="0" xr:uid="{00000000-0006-0000-1500-000001000000}">
      <text>
        <r>
          <rPr>
            <b/>
            <sz val="9"/>
            <color indexed="81"/>
            <rFont val="Segoe UI"/>
            <family val="2"/>
          </rPr>
          <t>GP:</t>
        </r>
        <r>
          <rPr>
            <sz val="9"/>
            <color indexed="81"/>
            <rFont val="Segoe UI"/>
            <family val="2"/>
          </rPr>
          <t xml:space="preserve">
Bao gồm 338,3856 triệu đồng từ nguồn 50% CCTL nghỉ 178 và 0,167 triệu đồng từ nguồn chi thường xuyên của xã
</t>
        </r>
      </text>
    </comment>
    <comment ref="S162" authorId="0" shapeId="0" xr:uid="{00000000-0006-0000-1500-000002000000}">
      <text>
        <r>
          <rPr>
            <b/>
            <sz val="9"/>
            <color indexed="81"/>
            <rFont val="Segoe UI"/>
            <family val="2"/>
          </rPr>
          <t>GP:</t>
        </r>
        <r>
          <rPr>
            <sz val="9"/>
            <color indexed="81"/>
            <rFont val="Segoe UI"/>
            <family val="2"/>
          </rPr>
          <t xml:space="preserve">
Trích 40% CCTL cấp bù học phí kỳ 2 năm học 2024-2025 và kỳ 1 năm học 2025-2026 giữ lại tại xã</t>
        </r>
      </text>
    </comment>
    <comment ref="I166" authorId="0" shapeId="0" xr:uid="{00000000-0006-0000-1500-000003000000}">
      <text>
        <r>
          <rPr>
            <b/>
            <sz val="9"/>
            <color indexed="81"/>
            <rFont val="Segoe UI"/>
            <family val="2"/>
          </rPr>
          <t>GP:</t>
        </r>
        <r>
          <rPr>
            <sz val="9"/>
            <color indexed="81"/>
            <rFont val="Segoe UI"/>
            <family val="2"/>
          </rPr>
          <t xml:space="preserve">
bao gồm 12,395 tr.đ từ 50% nguồn nghỉ 178 còn dư của xã</t>
        </r>
      </text>
    </comment>
    <comment ref="E191" authorId="0" shapeId="0" xr:uid="{00000000-0006-0000-1500-000004000000}">
      <text>
        <r>
          <rPr>
            <b/>
            <sz val="9"/>
            <color indexed="81"/>
            <rFont val="Segoe UI"/>
            <family val="2"/>
          </rPr>
          <t>GP:</t>
        </r>
        <r>
          <rPr>
            <sz val="9"/>
            <color indexed="81"/>
            <rFont val="Segoe UI"/>
            <family val="2"/>
          </rPr>
          <t xml:space="preserve">
Bao gồm 163 triệu nguồn 70% tăng thu 
</t>
        </r>
      </text>
    </comment>
    <comment ref="I191" authorId="0" shapeId="0" xr:uid="{00000000-0006-0000-1500-000005000000}">
      <text>
        <r>
          <rPr>
            <b/>
            <sz val="9"/>
            <color indexed="81"/>
            <rFont val="Segoe UI"/>
            <family val="2"/>
          </rPr>
          <t>GP:</t>
        </r>
        <r>
          <rPr>
            <sz val="9"/>
            <color indexed="81"/>
            <rFont val="Segoe UI"/>
            <family val="2"/>
          </rPr>
          <t xml:space="preserve">
Bao gồm nguồn tỉnh cấp đầu năm; 50% Kinh phí tiết kiệm từ thực hiện sắp xếp, tổ chức bộ máy xây dựng chính quyền địa phương 02 cấp (NĐ 178/NĐ-CP; NĐ 67/NĐ-CP);40% từ cấp bù miễn giảm học phí;Kinh phí được giao tự chủ của xã 03 cũ + nguồn ngân sách huyện trước sáp nhập chuyển về xã</t>
        </r>
      </text>
    </comment>
  </commentList>
</comments>
</file>

<file path=xl/sharedStrings.xml><?xml version="1.0" encoding="utf-8"?>
<sst xmlns="http://schemas.openxmlformats.org/spreadsheetml/2006/main" count="2882" uniqueCount="1445">
  <si>
    <t>Phí và lệ phí trung ương</t>
  </si>
  <si>
    <t>Phí và lệ phí tỉnh</t>
  </si>
  <si>
    <t>Phí và lệ phí huyện</t>
  </si>
  <si>
    <t>Phí và lệ phí xã, phường</t>
  </si>
  <si>
    <t>Tiền cho thuê đất, thuê mặt nước</t>
  </si>
  <si>
    <t>Tiền cho thuê và tiền bán nhà ở thuộc sở hữu nhà nước</t>
  </si>
  <si>
    <t>Thu từ quỹ đất công ích, hoa lợi công sản khác</t>
  </si>
  <si>
    <t xml:space="preserve">Thu từ hoạt động xuất nhập khẩu </t>
  </si>
  <si>
    <t>Thuế tiêu thụ đặc biệt thu từ hàng hóa nhập khẩu</t>
  </si>
  <si>
    <t>Thuế bảo vệ môi trường thu từ hàng hóa nhập khẩu</t>
  </si>
  <si>
    <t>Thuế giá trị gia tăng thu từ hàng hóa nhập khẩu</t>
  </si>
  <si>
    <t>THU KẾT DƯ NĂM TRƯỚC</t>
  </si>
  <si>
    <t>THU CHUYỂN NGUỒN TỪ NĂM TRƯỚC CHUYỂN SANG</t>
  </si>
  <si>
    <t>Dùng cho Bộ Tài chính báo cáo Chính phủ, các cơ quan liên quan</t>
  </si>
  <si>
    <t>Mẫu biểu số 51:</t>
  </si>
  <si>
    <t>Ước thực hiện thu NSNN tháng... năm....</t>
  </si>
  <si>
    <t>Mẫu biểu số 52:</t>
  </si>
  <si>
    <t>Ước thực hiện chi NSNN tháng... năm....</t>
  </si>
  <si>
    <t>Mẫu biểu số 53:</t>
  </si>
  <si>
    <t>Dùng cho cơ quan thuế, hải quan báo cáo cơ quan tài chính cùng cấp và cơ quan liên quan</t>
  </si>
  <si>
    <t>Mẫu biểu số 54:</t>
  </si>
  <si>
    <t>Thực hiện dự toán thu, chi NSNN quý... năm....</t>
  </si>
  <si>
    <t>Dùng cho đơn vị dự toán cấp I thuộc ngân sách trung ương báo cáo Bộ Tài chính</t>
  </si>
  <si>
    <t>Mẫu biểu số 55:</t>
  </si>
  <si>
    <t>Tình hình cân đối NSĐP tháng... năm....</t>
  </si>
  <si>
    <t>Dùng cho Ủy ban nhân dân tỉnh, thành phố trực thuộc trung ương báo cáo Bộ Tài chính</t>
  </si>
  <si>
    <t>Mẫu biểu số 56:</t>
  </si>
  <si>
    <t>Mẫu biểu số 57:</t>
  </si>
  <si>
    <t>Ước thực hiện chi NSĐP tháng... năm....</t>
  </si>
  <si>
    <t>Phần thứ bảy</t>
  </si>
  <si>
    <t>Mẫu biểu báo cáo quyết toán ngân sách nhà nước</t>
  </si>
  <si>
    <t>Mẫu biểu số 58:</t>
  </si>
  <si>
    <t>Số dư tài khoản tiền gửi kinh phí ngân sách cấp của đơn vị dự toán được chuyển nguồn sang năm sau của các đơn vị thuộc ngân sách các cấp năm...chuyển sang năm....</t>
  </si>
  <si>
    <t>Chi đầu tư phát triển (Không kể chương trình MTQG)</t>
  </si>
  <si>
    <t>Chi thường xuyên (Không kể chương trình MTQG)</t>
  </si>
  <si>
    <t>16= 7/1</t>
  </si>
  <si>
    <t>17= 8/2</t>
  </si>
  <si>
    <t>Cân đối NSĐP năm... (dùng cho năm đầu thời kỳ ổn định ngân sách)</t>
  </si>
  <si>
    <t>Mẫu biểu số 29.2:</t>
  </si>
  <si>
    <t>Thuyết minh tăng, giảm chi quản lý hành chính, Đảng, đoàn thể năm....</t>
  </si>
  <si>
    <t>Mẫu biểu số 67:</t>
  </si>
  <si>
    <t>Thuyết minh chi khắc phục hậu quả thiên tai năm....</t>
  </si>
  <si>
    <t>Mẫu biểu số 68:</t>
  </si>
  <si>
    <t>Thuyết minh tình hình sử dụng nguồn dự phòng, tăng thu và thưởng vượt dự toán thu ngân sách năm....</t>
  </si>
  <si>
    <t>Mẫu biểu số 69:</t>
  </si>
  <si>
    <t>Báo cáo tình hình kiểm toán, thanh tra năm....</t>
  </si>
  <si>
    <t>Mẫu biểu số 70:</t>
  </si>
  <si>
    <t>Bổ sung có mục tiêu</t>
  </si>
  <si>
    <t>Chia theo nguồn vốn</t>
  </si>
  <si>
    <t>2.4</t>
  </si>
  <si>
    <t>2.5</t>
  </si>
  <si>
    <t>2.6</t>
  </si>
  <si>
    <t>2.7</t>
  </si>
  <si>
    <t>2.8</t>
  </si>
  <si>
    <t>2.9</t>
  </si>
  <si>
    <t>Dùng cho các đơn vị dự toán ngân sách thuộc ngân sách các cấp báo cáo cơ quan kho bạc nhà nước</t>
  </si>
  <si>
    <t>Mẫu biểu số 59:</t>
  </si>
  <si>
    <t>7=1-6</t>
  </si>
  <si>
    <t>Số tiền</t>
  </si>
  <si>
    <t>Vốn đầu tư</t>
  </si>
  <si>
    <t xml:space="preserve"> -</t>
  </si>
  <si>
    <t>Thuế tài nguyên</t>
  </si>
  <si>
    <t>III</t>
  </si>
  <si>
    <t>IV</t>
  </si>
  <si>
    <t>Thuế sử dụng đất phi nông nghiệp</t>
  </si>
  <si>
    <t>Thuế sử dụng đất nông nghiệp</t>
  </si>
  <si>
    <t>Thu tiền sử dụng đất</t>
  </si>
  <si>
    <t>V</t>
  </si>
  <si>
    <t>Thu khác</t>
  </si>
  <si>
    <t>Đơn vị: triệu đồng</t>
  </si>
  <si>
    <t>Thuế nhập khẩu</t>
  </si>
  <si>
    <t>-</t>
  </si>
  <si>
    <t xml:space="preserve">Chi đầu tư phát triển </t>
  </si>
  <si>
    <t>Chi đầu tư phát triển khác</t>
  </si>
  <si>
    <t>Chi bảo đảm xã hội</t>
  </si>
  <si>
    <t>Chi đầu tư phát triển</t>
  </si>
  <si>
    <t xml:space="preserve"> </t>
  </si>
  <si>
    <t>Chi giao thông</t>
  </si>
  <si>
    <t>Chi bổ sung quỹ dự trữ tài chính</t>
  </si>
  <si>
    <t>Thuyết minh phân bổ chi sự nghiệp khoa học và công nghệ</t>
  </si>
  <si>
    <r>
      <t xml:space="preserve">Mẫu biểu số 40 </t>
    </r>
    <r>
      <rPr>
        <i/>
        <sz val="12"/>
        <color indexed="8"/>
        <rFont val="Times New Roman"/>
        <family val="1"/>
      </rPr>
      <t>(gồm mẫu biểu số 40.1 và 40.2):</t>
    </r>
  </si>
  <si>
    <t>Thuyết minh phân bổ chi sự nghiệp y tế</t>
  </si>
  <si>
    <t>Mẫu biểu số 41:</t>
  </si>
  <si>
    <t>Dùng cho Ủy ban nhân dân tỉnh, thành phố trực thuộc Trung ương báo cáo Bộ Tài chính</t>
  </si>
  <si>
    <t>Mẫu biểu số 29.1:</t>
  </si>
  <si>
    <t>Dùng cho:
- Các bộ, cơ quan trung ương và UBND các địa phương báo cáo cơ quan quản lý chương trình mục tiêu quốc gia, chương trình mục tiêu
- Cơ quan quản lý chương trình mục tiêu quốc gia, chương trình mục tiêu báo cáo Bộ Tài chính, Bộ Kế hoạch và Đầu tư</t>
  </si>
  <si>
    <t>Dùng cho:
- Đơn vị sử dụng ngân sách báo cáo cơ quan quản lý cấp trên
- Đơn vị dự toán cấp I báo cáo cơ quan tài chính cùng cấp</t>
  </si>
  <si>
    <t>Dùng cho:
- Đơn vị sự nghiệp công tự bảo đảm chi thường xuyên và chi đầu tư báo cáo cơ quan quản lý cấp trên
- Đơn vị dự toán cấp I báo cáo cơ quan tài chính cùng cấp</t>
  </si>
  <si>
    <t>Địa điểm xây dựng</t>
  </si>
  <si>
    <t xml:space="preserve"> Thuế tài nguyên</t>
  </si>
  <si>
    <t xml:space="preserve"> Thu khác</t>
  </si>
  <si>
    <t xml:space="preserve"> Thuế môn bài</t>
  </si>
  <si>
    <t xml:space="preserve"> Thuế thu nhập doanh nghiệp</t>
  </si>
  <si>
    <t xml:space="preserve"> Thuế giá trị gia tăng</t>
  </si>
  <si>
    <t xml:space="preserve">  Thuế môn bài</t>
  </si>
  <si>
    <t xml:space="preserve">  Thuế giá trị gia tăng</t>
  </si>
  <si>
    <t>17= 2/1</t>
  </si>
  <si>
    <t>Dự toán thu, chi ngân sách nhà nước năm...</t>
  </si>
  <si>
    <t>Mẫu biểu số 06:</t>
  </si>
  <si>
    <t>Dự toán thu, chi ngân sách nhà nước năm... chi tiết theo đơn vị trực thuộc</t>
  </si>
  <si>
    <t>Tổng hợp dự toán thu, chi từ nguồn vay nợ nước ngoài và vốn đối ứng năm...</t>
  </si>
  <si>
    <t>Mẫu biểu số 09:</t>
  </si>
  <si>
    <t>Tổng hợp dự toán thu, chi từ nguồn viện trợ và vốn đối ứng năm...</t>
  </si>
  <si>
    <t>Mẫu biểu số 10:</t>
  </si>
  <si>
    <t>Dự toán chi bằng ngoại tệ năm...</t>
  </si>
  <si>
    <t>Kế hoạch tài chính của các quỹ tài chính nhà nước ngoài ngân sách năm...</t>
  </si>
  <si>
    <t xml:space="preserve"> +</t>
  </si>
  <si>
    <t>Vốn sự nghiệp</t>
  </si>
  <si>
    <t>*</t>
  </si>
  <si>
    <t>TỔNG THU CÂN ĐỐI NSNN</t>
  </si>
  <si>
    <t>Mẫu biểu lập dự toán thu, chi ngân sách nhà nước</t>
  </si>
  <si>
    <t>Mẫu biểu số 05:</t>
  </si>
  <si>
    <t>Tổng nguồn vốn phát sinh trong năm</t>
  </si>
  <si>
    <t>Tổng sử dụng nguồn vốn trong năm</t>
  </si>
  <si>
    <t>Thu từ khu vực kinh tế ngoài quốc doanh</t>
  </si>
  <si>
    <t>Thuế thu nhập cá nhân</t>
  </si>
  <si>
    <t>Thuế bảo vệ môi trường</t>
  </si>
  <si>
    <t>Lệ phí trước bạ</t>
  </si>
  <si>
    <t>Thu từ hoạt động xổ số kiến thiết</t>
  </si>
  <si>
    <t>Thu khác ngân sách</t>
  </si>
  <si>
    <t>Thu tiền cấp quyền khai thác khoáng sản</t>
  </si>
  <si>
    <t>Chi nông nghiệp, lâm nghiệp, thủy lợi, thủy sản</t>
  </si>
  <si>
    <t>18=2/1</t>
  </si>
  <si>
    <t>Dự toán được cấp</t>
  </si>
  <si>
    <t>E</t>
  </si>
  <si>
    <t>Quyết toán thu NSNN, vay NSĐP theo mục lục ngân sách nhà nước năm...</t>
  </si>
  <si>
    <t>Dùng cho cơ quan tài chính cấp dưới báo cáo cơ quan tài chính cấp trên trực tiếp</t>
  </si>
  <si>
    <t>Mẫu biểu số 64:</t>
  </si>
  <si>
    <t>Dự toán thu, chi, nộp ngân sách nhà nước từ các khoản phí và lệ phí năm...</t>
  </si>
  <si>
    <t>Mẫu biểu số 08:</t>
  </si>
  <si>
    <t>Mẫu biểu số 17:</t>
  </si>
  <si>
    <t>Dự toán chi cấp bù chênh lệch lãi suất và phí quản lý năm...</t>
  </si>
  <si>
    <t>Dùng cho đơn vị được giao nhiệm vụ huy động vốn để cho vay ưu đãi theo quy định của Chính phủ, quyết định của Thủ tướng Chính phủ để báo cáo Bộ Tài chính, Bộ Kế hoạch và Đầu tư</t>
  </si>
  <si>
    <t>Mẫu biểu số 18:</t>
  </si>
  <si>
    <t xml:space="preserve">DANH MỤC MẪU BIỂU KÈM THEO THÔNG TƯ SỐ 342/2016/TT-BTC
NGÀY 30/12/2016 CỦA BỘ TÀI CHÍNH </t>
  </si>
  <si>
    <t>Nội dung (1)</t>
  </si>
  <si>
    <t>Quyết toán</t>
  </si>
  <si>
    <t>So sánh</t>
  </si>
  <si>
    <t>Tuyệt đối</t>
  </si>
  <si>
    <t>II</t>
  </si>
  <si>
    <t>Thu từ dầu thô</t>
  </si>
  <si>
    <t>(Ký tên, đóng dấu)</t>
  </si>
  <si>
    <t>Tổng số</t>
  </si>
  <si>
    <t>Bao gồm</t>
  </si>
  <si>
    <t>5.2</t>
  </si>
  <si>
    <r>
      <t xml:space="preserve">Mẫu biểu số 39 </t>
    </r>
    <r>
      <rPr>
        <i/>
        <sz val="12"/>
        <color indexed="8"/>
        <rFont val="Times New Roman"/>
        <family val="1"/>
      </rPr>
      <t>(gồm mẫu biểu số 39.1 và 39.2):</t>
    </r>
  </si>
  <si>
    <t>Thuyết minh phân bổ chi sự nghiệp phát thanh, truyền hình, thông tấn</t>
  </si>
  <si>
    <t>Mẫu biểu số 43:</t>
  </si>
  <si>
    <t>Thuyết minh phân bổ chi sự nghiệp thể dục thể thao</t>
  </si>
  <si>
    <t>Dùng cho:
- Đơn vị sử dụng ngân sách báo cáo đơn vị dự toán cấp trên
- Đơn vị dự toán cấp I báo cáo cơ quan tài chính và cơ quan kế hoạch và đầu tư cùng cấp
- UBND cấp tỉnh báo cáo Bộ Tài chính, Bộ Kế hoạch và Đầu tư</t>
  </si>
  <si>
    <t>Dùng cho:
- Đơn vị dự toán cấp trên tổng hợp dự toán của các đơn vị sử dụng ngân sách
- Đơn vị dự toán cấp I báo cáo cơ quan tài chính, cơ quan kế hoạch và đầu tư cùng cấp</t>
  </si>
  <si>
    <t>Dùng cho:
- Đơn vị sử dụng ngân sách báo cáo đơn vị dự toán cấp trên
- Đơn vị dự toán cấp I báo cáo cơ quan tài chính, cơ quan kế hoạch và đầu tư cùng cấp
- UBND cấp tỉnh báo cáo Bộ Tài chính, Bộ Kế hoạch và Đầu tư</t>
  </si>
  <si>
    <t>Dùng cho các bộ, cơ quan trung ương và các cơ quan, đơn vị ở địa phương báo cáo cơ quan tài chính cùng cấp</t>
  </si>
  <si>
    <t>Phần thứ ba</t>
  </si>
  <si>
    <t>Mẫu biểu lập dự toán thu, chi của hệ thống bảo hiểm xã hội Việt Nam</t>
  </si>
  <si>
    <t>Mẫu biểu số 19:</t>
  </si>
  <si>
    <t>4.2</t>
  </si>
  <si>
    <t>Phòng Văn hoá và Thông tin</t>
  </si>
  <si>
    <t>So sánh (%)</t>
  </si>
  <si>
    <t>Nguồn thu ngân sách</t>
  </si>
  <si>
    <t>Thu ngân sách được hưởng theo phân cấp</t>
  </si>
  <si>
    <t>Bổ sung cân đối ngân sách</t>
  </si>
  <si>
    <t>Chi ngân sách</t>
  </si>
  <si>
    <t>Chi bổ sung cho ngân sách cấp dưới</t>
  </si>
  <si>
    <t>Chi bổ sung cân đối ngân sách</t>
  </si>
  <si>
    <t>Dự toán chi đầu tư từ nguồn vốn ODA và vốn vay ưu đãi theo phương thức cấp phát từ NSTW (không bao gồm vốn nước ngoài giải ngân theo cơ chế tài chính trong nước) năm...</t>
  </si>
  <si>
    <t>Mẫu biểu số 25:</t>
  </si>
  <si>
    <t>Dự toán chi đầu tư từ nguồn vốn ODA và vốn vay ưu đãi theo phương thức cấp phát (giải ngân theo cơ chế tài chính trong nước) năm....</t>
  </si>
  <si>
    <t>Mẫu biểu số 26:</t>
  </si>
  <si>
    <t>Dự toán chi đầu tư từ nguồn vốn NSTW bổ sung có mục tiêu cho NSĐP (vốn trong nước) năm....</t>
  </si>
  <si>
    <t>Mẫu biểu số 27:</t>
  </si>
  <si>
    <t>Tổng hợp dự toán chi đầu tư phát triển năm ...</t>
  </si>
  <si>
    <t>Thuế xuất khẩu</t>
  </si>
  <si>
    <t>CHI CÂN ĐỐI NGÂN SÁCH ĐỊA PHƯƠNG</t>
  </si>
  <si>
    <t>Thuế BVMT thu từ hàng hóa nhập khẩu</t>
  </si>
  <si>
    <t xml:space="preserve">Thu phí, lệ phí </t>
  </si>
  <si>
    <t>Cơ sở tính chi sự nghiệp bảo vệ môi trường năm...</t>
  </si>
  <si>
    <t>Mẫu biểu số 13.8:</t>
  </si>
  <si>
    <t>Cơ sở tính chi các hoạt động kinh tế năm...</t>
  </si>
  <si>
    <t>Mẫu biểu số 13.9:</t>
  </si>
  <si>
    <t>Chi tiết chi các hoạt động kinh tế theo chương trình/dự án năm...</t>
  </si>
  <si>
    <t>Mẫu biểu số 13.10:</t>
  </si>
  <si>
    <t>Thuế BVMT thu từ hàng hóa sản xuất, kinh doanh trong nước</t>
  </si>
  <si>
    <t>Cấp huyện</t>
  </si>
  <si>
    <t>Cấp xã</t>
  </si>
  <si>
    <t>NGÂN SÁCH XÃ</t>
  </si>
  <si>
    <t>Ngân sách xã</t>
  </si>
  <si>
    <t>Tương đối (%)</t>
  </si>
  <si>
    <t>4=2/1</t>
  </si>
  <si>
    <t>TỔNG NGUỒN THU NSĐP</t>
  </si>
  <si>
    <t>Thu NSĐP hưởng 100%</t>
  </si>
  <si>
    <t>Ban Quản lý đầu tư xây dựng</t>
  </si>
  <si>
    <t>Mẫu biểu số 60:</t>
  </si>
  <si>
    <t>Cân đối quyết toán ngân sách địa phương năm....</t>
  </si>
  <si>
    <t>Dùng cho Ủy ban nhân dân cấp dưới báo cáo cơ quan tài chính cấp trên trực tiếp</t>
  </si>
  <si>
    <t>Mẫu biểu số 61:</t>
  </si>
  <si>
    <t>Thu chuyển giao ngân sách</t>
  </si>
  <si>
    <t>Báo cáo lao động - tiền lương - nguồn kinh phí đảm bảo của các đơn vị sự nghiệp năm...</t>
  </si>
  <si>
    <t>Chuyển nguồn</t>
  </si>
  <si>
    <t>Mẫu biểu số 07:</t>
  </si>
  <si>
    <t>Dùng cho các Sở và cơ quan cấp tỉnh; Phòng và các cơ quan cấp huyện, báo cáo cơ quan tài chính cùng cấp, kho bạc nhà nước (kèm theo mẫu B, C phụ lục 2)</t>
  </si>
  <si>
    <t>Mẫu biểu số 49:</t>
  </si>
  <si>
    <t>Mẫu biểu cáo cáo chấp hành ngân sách nhà nước</t>
  </si>
  <si>
    <t>Mẫu biểu số 50:</t>
  </si>
  <si>
    <t>Tình hình cân đối NSNN tháng... năm....</t>
  </si>
  <si>
    <t>Đơn vị tính: Triệu đồng</t>
  </si>
  <si>
    <t>3=2-1</t>
  </si>
  <si>
    <t>20=12/3</t>
  </si>
  <si>
    <r>
      <t xml:space="preserve">Mẫu biểu số 47 </t>
    </r>
    <r>
      <rPr>
        <i/>
        <sz val="12"/>
        <color indexed="8"/>
        <rFont val="Times New Roman"/>
        <family val="1"/>
      </rPr>
      <t>(gồm mẫu biểu số 47.1; 47.2 và 47.3)</t>
    </r>
  </si>
  <si>
    <t>Thuyết minh phân bổ chi đảm bảo xã hội</t>
  </si>
  <si>
    <t>Mẫu biểu số 48:</t>
  </si>
  <si>
    <t>Dự toán bổ sung mục tiêu đầu năm</t>
  </si>
  <si>
    <t>Bổ sung mục tiêu trong năm</t>
  </si>
  <si>
    <t>Chuyển nguồn sang ngân sách năm sau</t>
  </si>
  <si>
    <t xml:space="preserve"> TM. ỦY BAN NHÂN DÂN </t>
  </si>
  <si>
    <t>CHỦ TỊCH</t>
  </si>
  <si>
    <t>Tên Quỹ</t>
  </si>
  <si>
    <t>3=2/1</t>
  </si>
  <si>
    <t xml:space="preserve">Chi đầu tư cho các dự án </t>
  </si>
  <si>
    <t>Trong đó: Chia theo lĩnh vực</t>
  </si>
  <si>
    <t>CHI CÁC CHƯƠNG TRÌNH MỤC TIÊU</t>
  </si>
  <si>
    <t>Chi giáo dục - đào tạo và dạy nghề</t>
  </si>
  <si>
    <t>Gồm</t>
  </si>
  <si>
    <t>1=2+3</t>
  </si>
  <si>
    <t>4=5+6</t>
  </si>
  <si>
    <t>1.2</t>
  </si>
  <si>
    <t>1.3</t>
  </si>
  <si>
    <t>2.1</t>
  </si>
  <si>
    <t>2.2</t>
  </si>
  <si>
    <t>C</t>
  </si>
  <si>
    <t>Mẫu biểu số 12.2</t>
  </si>
  <si>
    <t>Trong đó</t>
  </si>
  <si>
    <t>11=12+13</t>
  </si>
  <si>
    <t>Trong đó:</t>
  </si>
  <si>
    <t>VI</t>
  </si>
  <si>
    <t>2.3</t>
  </si>
  <si>
    <t>Tên đơn vị</t>
  </si>
  <si>
    <t>Chênh lệch nguồn trong năm</t>
  </si>
  <si>
    <t>Ghi chú</t>
  </si>
  <si>
    <t>Vốn trong nước</t>
  </si>
  <si>
    <t>Thu bổ sung từ ngân sách cấp trên</t>
  </si>
  <si>
    <t>Ban quản lý đầu tư XD huyện Na Rì</t>
  </si>
  <si>
    <t>Nguồn cân đối huyện điều hành</t>
  </si>
  <si>
    <t xml:space="preserve"> - </t>
  </si>
  <si>
    <t>Sự nghiệp văn hóa thông tin</t>
  </si>
  <si>
    <t>Sự nghiệp thể dục thể thao</t>
  </si>
  <si>
    <t>5.1</t>
  </si>
  <si>
    <t>Thuyết minh phân bổ chi sự nghiệp văn hóa thông tin</t>
  </si>
  <si>
    <t>Mẫu biểu số 42:</t>
  </si>
  <si>
    <t>Biểu tổng hợp dự toán thu NSNN năm...</t>
  </si>
  <si>
    <t>Mẫu biểu số 32:</t>
  </si>
  <si>
    <t>Biểu tổng hợp dự toán chi NSĐP năm....</t>
  </si>
  <si>
    <t>Mẫu biểu số 33:</t>
  </si>
  <si>
    <t>Tình hình thực hiện các dự án đầu tư sử dụng vốn NSTW bổ sung có mục tiêu cho NSĐP (vốn trong nước) năm... và dự kiến kế hoạch năm...</t>
  </si>
  <si>
    <t>Mẫu biểu số 34:</t>
  </si>
  <si>
    <t>Tình hình thực hiện các dự án đầu tư từ vốn ODA và vốn vay ưu đãi kế hoạch năm... và dự kiến kế hoạch năm....</t>
  </si>
  <si>
    <t>Mẫu biểu số 35:</t>
  </si>
  <si>
    <t>Dự toán thu từ hoạt động cung cấp dịch vụ của đơn vị sự nghiệp công lập năm...</t>
  </si>
  <si>
    <t>Phần thứ sáu</t>
  </si>
  <si>
    <t>Mẫu biểu phân bổ, thuyết minh phân bổ và chấp hành ngân sách nhà nước</t>
  </si>
  <si>
    <t>Mẫu biểu phân bổ, thuyết minh phân bổ</t>
  </si>
  <si>
    <t>Mẫu biểu số 36:</t>
  </si>
  <si>
    <t>Dùng cho:
- Đơn vị sự nghiệp công tự bảo đảm chi thường xuyên báo cáo cơ quan quản lý cấp trên
- Đơn vị dự toán cấp I báo cáo cơ quan tài chính cùng cấp</t>
  </si>
  <si>
    <t>Ngân sách địa phương</t>
  </si>
  <si>
    <t>7=4/1</t>
  </si>
  <si>
    <t>8=5/2</t>
  </si>
  <si>
    <t>9=6/3</t>
  </si>
  <si>
    <t>Chi chương trình MTQG</t>
  </si>
  <si>
    <t>Chi chuyển nguồn sang ngân sách năm sau</t>
  </si>
  <si>
    <t>CHI TẠO NGUỒN, ĐIỀU CHỈNH TIỀN LƯƠNG</t>
  </si>
  <si>
    <t>2</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</si>
  <si>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</si>
  <si>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từ nguồn thu tiền sử dụng đất</t>
  </si>
  <si>
    <t>Chi khoa học và công nghệ</t>
  </si>
  <si>
    <t>Chi quốc phòng</t>
  </si>
  <si>
    <t xml:space="preserve">Dự toán </t>
  </si>
  <si>
    <t>Mẫu biểu số 16:</t>
  </si>
  <si>
    <t>Cơ sở tính chi mua bổ sung hàng dự trữ quốc gia năm...</t>
  </si>
  <si>
    <t>Dùng cho đơn vị dự toán cấp I báo cáo cơ quan tài chính và cơ quan kế hoạch và đầu tư cùng cấp</t>
  </si>
  <si>
    <t>Phần thứ năm</t>
  </si>
  <si>
    <t>Mẫu biểu lập dự toán ngân sách địa phương</t>
  </si>
  <si>
    <t>Mẫu biểu số 28:</t>
  </si>
  <si>
    <t>Một số chỉ tiêu kinh tế - xã hội cơ bản năm...</t>
  </si>
  <si>
    <t>Tổng cộng</t>
  </si>
  <si>
    <t>Côn Minh</t>
  </si>
  <si>
    <t>Dương Sơn</t>
  </si>
  <si>
    <t>Kim Hỷ</t>
  </si>
  <si>
    <t>Cư Lễ</t>
  </si>
  <si>
    <t>Cường Lợi</t>
  </si>
  <si>
    <t>Quang Phong</t>
  </si>
  <si>
    <t>Đơn vị: Triệu đồng</t>
  </si>
  <si>
    <t>STT</t>
  </si>
  <si>
    <t>Nội dung</t>
  </si>
  <si>
    <t>Dự toán</t>
  </si>
  <si>
    <t>A</t>
  </si>
  <si>
    <t>B</t>
  </si>
  <si>
    <t>I</t>
  </si>
  <si>
    <t>Thu nội địa</t>
  </si>
  <si>
    <t>1.1</t>
  </si>
  <si>
    <t>Cơ sở tính chi thực hiện chính sách đối với các đối tượng thuộc lĩnh vực bảo đảm xã hội năm...</t>
  </si>
  <si>
    <t>Mẫu biểu số 13.11:</t>
  </si>
  <si>
    <t>Cơ sở tính chi thực hiện chính sách ưu đãi người có công với cách mạng năm...</t>
  </si>
  <si>
    <t>Mẫu biểu số 13.12:</t>
  </si>
  <si>
    <t>Cơ sở tính chi thực hiện chính sách trợ giúp xã hội năm...</t>
  </si>
  <si>
    <t>Dùng cho cơ quan lao động - thương binh và xã hội báo cáo cơ quan tài chính cùng cấp</t>
  </si>
  <si>
    <t>Mẫu biểu số 14:</t>
  </si>
  <si>
    <t>Cơ sở tính chi hoạt động của các cơ quan quản lý nhà nước, đảng, đoàn thể năm...</t>
  </si>
  <si>
    <t>Mẫu biểu số 15.1:</t>
  </si>
  <si>
    <t>Dùng cho:
- Đơn vị sự nghiệp công tự bảo đảm một phần chi thường xuyên báo cáo cơ quan quản lý cấp trên
- Đơn vị dự toán cấp I báo cáo cơ quan tài chính cùng cấp</t>
  </si>
  <si>
    <t>Dùng cho:
- Đơn vị sự nghiệp công do Nhà nước bảo đảm chi thường xuyên báo cáo cơ quan quản lý cấp trên
- Đơn vị dự toán cấp I báo cáo cơ quan tài chính cùng cấp</t>
  </si>
  <si>
    <t>Dùng cho:
- Cơ quan lao động - thương binh và xã hội các cấp để báo cáo cơ quan lao động- thương binh và xã hội cấp trên
- Bộ Lao động-Thương binh và Xã hội báo cáo Bộ Tài chính</t>
  </si>
  <si>
    <t>CHI CHUYỂN NGUỒN SANG NĂM SAU</t>
  </si>
  <si>
    <t>Chi phát thanh, truyền hình, thông tấn</t>
  </si>
  <si>
    <t>Chi hoạt động của cơ quan quản lý nhà nước, đảng, đoàn thể</t>
  </si>
  <si>
    <t>Chi đầu tư khác</t>
  </si>
  <si>
    <t>Chi khoa học và công nghệ (2)</t>
  </si>
  <si>
    <t>Tổng hợp dự toán thu ngân sách nhà nước theo sắc thuế năm...</t>
  </si>
  <si>
    <t>Mẫu biểu số 03:</t>
  </si>
  <si>
    <t>Dự kiến số thuế giá trị gia tăng phải hoàn năm....</t>
  </si>
  <si>
    <t>Mẫu biểu số 04:</t>
  </si>
  <si>
    <t>Tổng hợp dự toán thu, chi các quỹ bảo hiểm năm...</t>
  </si>
  <si>
    <t>Mẫu biểu số 20:</t>
  </si>
  <si>
    <t>Dự toán chi tiết thu, chi Quỹ bảo hiểm xã hội năm...</t>
  </si>
  <si>
    <t>Mẫu biểu số 21:</t>
  </si>
  <si>
    <t>Dự toán chi tiết thu, chi Quỹ bảo hiểm y tế năm...</t>
  </si>
  <si>
    <t>Mẫu biểu số 22:</t>
  </si>
  <si>
    <t>Phần thứ tư</t>
  </si>
  <si>
    <t>5=2-4</t>
  </si>
  <si>
    <t>9=6-8</t>
  </si>
  <si>
    <t>Chi nộp ngân sách cấp trên</t>
  </si>
  <si>
    <t>Thu huy động đóng góp</t>
  </si>
  <si>
    <t>PHỤ LỤC</t>
  </si>
  <si>
    <t>Dùng cho:
- Cơ quan bảo hiểm xã hội các cấp báo cáo cơ quan bảo hiểm xã hội cấp trên
- Bảo hiểm xã hội Việt Nam báo cáo Bộ Tài chính</t>
  </si>
  <si>
    <t>Dùng cho:
- Đơn vị sử dụng ngân sách báo cáo đơn vị dự toán cấp trên
- Đơn vị dự toán cấp I báo cáo cơ quan tài chính và cơ quan kế hoạch và đầu tư cùng cấp</t>
  </si>
  <si>
    <t>Nguồn năm trước chuyển sang</t>
  </si>
  <si>
    <t>Dự toán giao trong năm</t>
  </si>
  <si>
    <t>Kinh phí còn dư</t>
  </si>
  <si>
    <t>Thu từ khu vực doanh nghiệp có vốn đầu tư nước ngoài</t>
  </si>
  <si>
    <t>Thu viện trợ</t>
  </si>
  <si>
    <t>TỔNG CHI NSĐP</t>
  </si>
  <si>
    <t>CHI CÂN ĐỐI NSĐP</t>
  </si>
  <si>
    <t>Chi đầu tư cho các dự án</t>
  </si>
  <si>
    <t>Chi an ninh và trật tự an toàn xã hội</t>
  </si>
  <si>
    <t>Chi thể dục thể thao</t>
  </si>
  <si>
    <t>Chi các hoạt động kinh tế</t>
  </si>
  <si>
    <t>Chi thường xuyên khác</t>
  </si>
  <si>
    <t>VII</t>
  </si>
  <si>
    <t>Kết dư ngân sách</t>
  </si>
  <si>
    <t>Chi y tế, dân số và gia đình</t>
  </si>
  <si>
    <t>Chi văn hóa thông tin</t>
  </si>
  <si>
    <t>Chi bảo vệ môi trường</t>
  </si>
  <si>
    <t>Sự nghiệp giáo dục</t>
  </si>
  <si>
    <t>Sự nghiệp đào tạo và dạy nghề</t>
  </si>
  <si>
    <t>Sự nghiệp khoa học và công nghệ</t>
  </si>
  <si>
    <t>Sự nghiệp y tế</t>
  </si>
  <si>
    <t>CHI CHUYỂN NGUỒN SANG NGÂN SÁCH NĂM SAU</t>
  </si>
  <si>
    <t>Mẫu biểu số 11.1:</t>
  </si>
  <si>
    <t>Dự toán chi các chương trình mục tiêu quốc gia, chương trình mục tiêu năm...</t>
  </si>
  <si>
    <t>Mẫu biểu số 11.2:</t>
  </si>
  <si>
    <t>Mẫu biểu số 12.1:</t>
  </si>
  <si>
    <t>Dự toán thu, chi theo lĩnh vực sự nghiệp năm...</t>
  </si>
  <si>
    <t>Dự toán thu, chi đơn vị sự nghiệp lĩnh vực năm...</t>
  </si>
  <si>
    <t>Mẫu biểu số 12.3:</t>
  </si>
  <si>
    <t>Mẫu biểu số 12.4:</t>
  </si>
  <si>
    <t>Mẫu biểu số 12.5:</t>
  </si>
  <si>
    <t>Mẫu biểu số 13.1:</t>
  </si>
  <si>
    <t>Cơ sở tính chi sự nghiệp giáo dục - đào tạo và dạy nghề năm...</t>
  </si>
  <si>
    <t>Chi thuộc nhiệm vụ của ngân sách cấp xã</t>
  </si>
  <si>
    <t xml:space="preserve">CHI BỔ SUNG CÂN ĐỐI CHO NGÂN SÁCH CẤP DƯỚI </t>
  </si>
  <si>
    <t>Báo cáo biên chế - tiền lương của các cơ quan quản lý nhà nước, đảng, đoàn thể năm...</t>
  </si>
  <si>
    <t>Mẫu biểu số 15.2:</t>
  </si>
  <si>
    <t>Thu bổ sung cân đối ngân sách</t>
  </si>
  <si>
    <t>Thu bổ sung có mục tiêu</t>
  </si>
  <si>
    <t>Thu kết dư</t>
  </si>
  <si>
    <t>Thu chuyển nguồn từ năm trước chuyển sang</t>
  </si>
  <si>
    <t>TỔNG CHI NGÂN SÁCH ĐỊA PHƯƠNG</t>
  </si>
  <si>
    <t>Dự phòng ngân sách</t>
  </si>
  <si>
    <t>Chi chuyển nguồn sang năm sau</t>
  </si>
  <si>
    <t>Thu NSĐP được hưởng theo phân cấp</t>
  </si>
  <si>
    <t>D</t>
  </si>
  <si>
    <t>Kế hoạch vay và trả nợ ngân sách tỉnh, thành phố trực thuộc trung ương năm...</t>
  </si>
  <si>
    <t>Mẫu biểu số 31:</t>
  </si>
  <si>
    <t>CÁN BỘ TRÌNH</t>
  </si>
  <si>
    <t>(Ký tên, ghi rõ họ tên)</t>
  </si>
  <si>
    <t>1=2+3+4</t>
  </si>
  <si>
    <t>Dùng cho:
- Đơn vị sử dụng ngân sách trung ương báo cáo đơn vị dự toán cấp trên
- Đơn vị dự toán cấp I thuộc ngân sách trung ương báo cáo Bộ Tài chính</t>
  </si>
  <si>
    <t>Chuyển nguồn năm sau</t>
  </si>
  <si>
    <t>Hủy bỏ</t>
  </si>
  <si>
    <t>Tên đơn vị (1)</t>
  </si>
  <si>
    <t>Chi CTMTQG</t>
  </si>
  <si>
    <t>Chi giáo dục đào tạo dạy nghề</t>
  </si>
  <si>
    <t>So sách (%)</t>
  </si>
  <si>
    <t>Vốn đầu tư để thực hiện các CTMT, nhiệm vụ</t>
  </si>
  <si>
    <t>Vốn sự nghiệp thực hiện các chế độ, chính sách</t>
  </si>
  <si>
    <t>Vốn thực hiện các CTMT quốc gia</t>
  </si>
  <si>
    <t>Vốn ngoài nước</t>
  </si>
  <si>
    <t>3=4+5</t>
  </si>
  <si>
    <t>17=9/1</t>
  </si>
  <si>
    <t>18=10/2</t>
  </si>
  <si>
    <t>19=11/3</t>
  </si>
  <si>
    <t>20=12/4</t>
  </si>
  <si>
    <t>21=13/5</t>
  </si>
  <si>
    <t>22=14/6</t>
  </si>
  <si>
    <t>23=15/7</t>
  </si>
  <si>
    <t>24=16/8</t>
  </si>
  <si>
    <t>Tổng thu NSĐP</t>
  </si>
  <si>
    <t>Thu NSĐP hưởng theo phân cấp</t>
  </si>
  <si>
    <t>Số bổ sung cân đối từ ngân sách cấp trên</t>
  </si>
  <si>
    <t>Số bổ sung thực hiện cải cách tiền lương</t>
  </si>
  <si>
    <t>Thu từ kết dư năm trước</t>
  </si>
  <si>
    <t>Đầu tư phát triển</t>
  </si>
  <si>
    <t>Kinh phí sự nghiệp</t>
  </si>
  <si>
    <t>(KHÔNG BAO GỒM NGUỒN NGÂN SÁCH NHÀ NƯỚC)</t>
  </si>
  <si>
    <t>Sự nghiệp giáo dục - đào tạo và dạy nghề</t>
  </si>
  <si>
    <t>Sự nghiệp phát thanh truyền hình</t>
  </si>
  <si>
    <t>Chi bổ sung có mục tiêu</t>
  </si>
  <si>
    <t>Kết dư</t>
  </si>
  <si>
    <t>Tổng thu NSNN</t>
  </si>
  <si>
    <t>Thu NSĐP</t>
  </si>
  <si>
    <t>5=3/1</t>
  </si>
  <si>
    <t>6=4/2</t>
  </si>
  <si>
    <t>TỔNG NGUỒN THU NSNN (A+B+C+D)</t>
  </si>
  <si>
    <t>Dùng cho:
- Đơn vị sử dụng ngân sách báo cáo đơn vị dự toán cấp trên
- Đơn vị dự toán cấp I ở địa phương báo cáo cơ quan tài chính, cơ quan kế hoạch và đầu tư cùng cấp</t>
  </si>
  <si>
    <t>Sử dụng phục vụ lập báo cáo địa phương</t>
  </si>
  <si>
    <t>Các mẫu biểu</t>
  </si>
  <si>
    <t>CQ báo cáo và nhận báo cáo</t>
  </si>
  <si>
    <t>Dự toán chi tiết thu, chi Quỹ bảo hiểm thất nghiệp năm…</t>
  </si>
  <si>
    <t>Tình hình thực hiện dự toán của các nhiệm vụ được chuyển nguồn sang năm sau của các đơn vị thuộc ngân sách các cấp năm... chuyển sang năm...</t>
  </si>
  <si>
    <t>Cân đối NSĐP năm... (dùng cho các năm trong thời kỳ ổn định ngân sách)</t>
  </si>
  <si>
    <t>Mẫu biểu số 30:</t>
  </si>
  <si>
    <t>Quyết toán thu NSNN, vay NSĐP năm...</t>
  </si>
  <si>
    <t>Mẫu biểu số 62:</t>
  </si>
  <si>
    <t>Quyết toán chi ngân sách địa phương năm....</t>
  </si>
  <si>
    <t>Mẫu biểu số 63:</t>
  </si>
  <si>
    <t>Quyết toán chi, trả nợ NSĐP theo mục lục ngân sách nhà nước năm...</t>
  </si>
  <si>
    <t>Mẫu biểu số 65:</t>
  </si>
  <si>
    <t>Quyết toán chi chương trình mục tiêu theo mục lục ngân sách nhà nước năm....</t>
  </si>
  <si>
    <t>Mẫu biểu số 66:</t>
  </si>
  <si>
    <t>Thu cố định tại xã</t>
  </si>
  <si>
    <t>1</t>
  </si>
  <si>
    <t>Thu từ quỹ dự trữ tài chính</t>
  </si>
  <si>
    <t>Dùng cho:
- Đơn vị sử dụng ngân sách báo cáo đơn vị dự toán cấp trên
- Đơn vị dự toán cấp I báo cáo cơ quan tài chính cùng cấp</t>
  </si>
  <si>
    <t>Nguồn thu tiền sử dụng đất</t>
  </si>
  <si>
    <t xml:space="preserve">Nội dung </t>
  </si>
  <si>
    <t>Cơ sở tính chi sự nghiệp thể dục thể thao năm...</t>
  </si>
  <si>
    <t>Mẫu biểu số 13.7:</t>
  </si>
  <si>
    <t>Chi thường xuyên</t>
  </si>
  <si>
    <t>TỔNG SỐ</t>
  </si>
  <si>
    <t>Kinh phí thực hiện trong năm</t>
  </si>
  <si>
    <t>Nguồn còn lại</t>
  </si>
  <si>
    <t>Dự toán đầu năm</t>
  </si>
  <si>
    <t>Mẫu biểu số 13.2:</t>
  </si>
  <si>
    <t>Cơ sở tính chi sự nghiệp y tế, dân số và gia đình năm...</t>
  </si>
  <si>
    <t>Mẫu biểu số 13.3:</t>
  </si>
  <si>
    <t>Cơ sở tính chi sự nghiệp khoa học và công nghệ năm...</t>
  </si>
  <si>
    <t>Mẫu biểu số 13.4:</t>
  </si>
  <si>
    <t>Cơ sở tính chi sự nghiệp văn hóa thông tin năm...</t>
  </si>
  <si>
    <t>Mẫu biểu số 13.5:</t>
  </si>
  <si>
    <t>Cơ sở tính chi sự nghiệp phát thanh, truyền hình, thông tấn năm...</t>
  </si>
  <si>
    <t>Mẫu biểu số 13.6:</t>
  </si>
  <si>
    <t>Dùng cho:
- Đơn vị sử dụng ngân sách ở trung ương báo cáo đơn vị dự toán cấp trên
- Đơn vị dự toán cấp I thuộc ngân sách trung ương báo cáo Bộ Tài chính, Bộ Kế hoạch và Đầu tư</t>
  </si>
  <si>
    <t>- Đơn vị dự toán cấp I các cấp báo cáo cơ quan tài chính cùng cấp.
- Dùng cho Ủy ban nhân dân báo cáo cơ quan tài chính cấp trên trực tiếp</t>
  </si>
  <si>
    <r>
      <t xml:space="preserve">Mẫu biểu số 44 </t>
    </r>
    <r>
      <rPr>
        <i/>
        <sz val="12"/>
        <color indexed="8"/>
        <rFont val="Times New Roman"/>
        <family val="1"/>
      </rPr>
      <t>(gồm mẫu biểu số 44.1 và 44.2):</t>
    </r>
  </si>
  <si>
    <t>Thuyết minh phân bổ chi sự nghiệp bảo vệ môi trường</t>
  </si>
  <si>
    <r>
      <t xml:space="preserve">Mẫu biểu số 45 </t>
    </r>
    <r>
      <rPr>
        <i/>
        <sz val="12"/>
        <color indexed="8"/>
        <rFont val="Times New Roman"/>
        <family val="1"/>
      </rPr>
      <t>(gồm mẫu biểu số 45.1; 45.2 và 45.3):</t>
    </r>
  </si>
  <si>
    <t>Thuyết minh phân bổ chi hoạt động kinh tế</t>
  </si>
  <si>
    <r>
      <t xml:space="preserve">Mẫu biểu số 46 </t>
    </r>
    <r>
      <rPr>
        <i/>
        <sz val="12"/>
        <color indexed="8"/>
        <rFont val="Times New Roman"/>
        <family val="1"/>
      </rPr>
      <t>(gồm mẫu biểu số 46.1; 46.2 và 46.3):</t>
    </r>
  </si>
  <si>
    <t>Thuyết minh phân bổ chi quản lý hành chính</t>
  </si>
  <si>
    <t>Thu NSĐP hưởng từ các khoản thu phân chia</t>
  </si>
  <si>
    <t xml:space="preserve">Thu bổ sung từ ngân sách cấp trên </t>
  </si>
  <si>
    <t xml:space="preserve">Tổng chi cân đối NSĐP </t>
  </si>
  <si>
    <t>Chi trả nợ lãi các khoản do chính quyền địa phương vay</t>
  </si>
  <si>
    <t>Chi tạo nguồn, điều chỉnh tiền lương</t>
  </si>
  <si>
    <t>Chi các chương trình mục tiêu</t>
  </si>
  <si>
    <t>Chi các chương trình mục tiêu quốc gia</t>
  </si>
  <si>
    <t>Phần thứ nhất</t>
  </si>
  <si>
    <t>Mẫu biểu lập dự toán thu ngân sách nhà nước</t>
  </si>
  <si>
    <t>Mẫu biểu số 01:</t>
  </si>
  <si>
    <t>Tổng hợp dự toán thu ngân sách nhà nước năm....</t>
  </si>
  <si>
    <t>Dùng cho cơ quan thuế các cấp báo cáo: Cơ quan thuế cấp trên, UBND, cơ quan tài chính, cơ quan kế hoạch và đầu tư cùng cấp</t>
  </si>
  <si>
    <t>Mẫu biểu số 02:</t>
  </si>
  <si>
    <t>Tổng hợp dự toán thu từ hoạt động xuất nhập khẩu năm...</t>
  </si>
  <si>
    <t>Dùng cho cơ quan hải quan các cấp báo cáo: Cơ quan hải quan cấp trên, UBND, cơ quan tài chính, cơ quan kế hoạch và đầu tư cùng cấp</t>
  </si>
  <si>
    <t>Phần thứ hai</t>
  </si>
  <si>
    <t>Báo cáo chi chuyển nguồn sang năm sau năm....</t>
  </si>
  <si>
    <t>Dùng cho cơ quan tài chính báo cáo cơ quan tài chính cấp trên trực tiếp</t>
  </si>
  <si>
    <t>Phụ lục</t>
  </si>
  <si>
    <t>x</t>
  </si>
  <si>
    <t>Nguyễn Thị Hương</t>
  </si>
  <si>
    <t>Mẫu biểu lập dự toán chi đầu tư phát triển</t>
  </si>
  <si>
    <t>Mẫu biểu số 23:</t>
  </si>
  <si>
    <t>Dự toán chi đầu tư nguồn NSNN (vốn trong nước) năm...</t>
  </si>
  <si>
    <t>Mẫu biểu số 24:</t>
  </si>
  <si>
    <t>Biểu số 5.8</t>
  </si>
  <si>
    <t>Dùng cho các bộ, cơ quan trung ương báo cáo Bộ Tài chính (kèm theo mẫu A phụ lục 2)</t>
  </si>
  <si>
    <t>Mẫu biểu số 37:</t>
  </si>
  <si>
    <t>Phân bổ dự toán thu, chi ngân sách nhà nước năm...</t>
  </si>
  <si>
    <t>Mẫu biểu số 38:</t>
  </si>
  <si>
    <t>Thuyết minh phân bổ chi sự nghiệp giáo dục - đào tạo và dạy nghề</t>
  </si>
  <si>
    <t>Thu hồi vốn , lợi nhuận, lợi nhuận sau thuế, chênh lệch thu chi của NHNN</t>
  </si>
  <si>
    <t xml:space="preserve"> Thuế tiêu thụ đặc biệt</t>
  </si>
  <si>
    <t>Nông Văn Nguyên</t>
  </si>
  <si>
    <t>CHI THỰC HIỆN NHIỆM VỤ</t>
  </si>
  <si>
    <t>Chi các chương trình nhiệm vụ</t>
  </si>
  <si>
    <t>Chi Khoa học công nghệ</t>
  </si>
  <si>
    <t>Thu bổ sung cân đối</t>
  </si>
  <si>
    <t>Na Rì, ngày 18 tháng 6 năm 2019</t>
  </si>
  <si>
    <t>Tên biểu</t>
  </si>
  <si>
    <t>Số trang</t>
  </si>
  <si>
    <t>Kinh phí cải cách tiền lương</t>
  </si>
  <si>
    <t>Huyện</t>
  </si>
  <si>
    <t>Xã</t>
  </si>
  <si>
    <t>Tồn</t>
  </si>
  <si>
    <t>Nông Thị Anh Thơ</t>
  </si>
  <si>
    <t>Kinh phí bảo đảm trật tự an toàn giao thông</t>
  </si>
  <si>
    <t>Xã Cường Lợi</t>
  </si>
  <si>
    <t>Văn Vũ</t>
  </si>
  <si>
    <t>Trần Phú</t>
  </si>
  <si>
    <t xml:space="preserve">Đầu tư phát triển </t>
  </si>
  <si>
    <t>Tổng dự toán</t>
  </si>
  <si>
    <t>Xây dựng nhà bán trú và sửa chữa một số hạng mục Trường phổ thông dân tộc bán trú THCS Văn Vũ, huyện Na Rì</t>
  </si>
  <si>
    <t>Xây dựng cầu tràn Nà Nôm - Hát Lài, xã Sơn Thành, huyện Na Rì</t>
  </si>
  <si>
    <t>Sửa chữa, nâng cấp đường từ quốc lộ 279 vào trung tâm xã Kim Hỷ, huyện Na Rì</t>
  </si>
  <si>
    <t>,</t>
  </si>
  <si>
    <t>TỔNG</t>
  </si>
  <si>
    <t>3.1</t>
  </si>
  <si>
    <t>3.2</t>
  </si>
  <si>
    <t>Quỹ Khuyến học</t>
  </si>
  <si>
    <t>5.3</t>
  </si>
  <si>
    <t>6.2</t>
  </si>
  <si>
    <t>7.1</t>
  </si>
  <si>
    <t>Quỹ Nhân đạo</t>
  </si>
  <si>
    <t xml:space="preserve">PHÒNG TÀI CHÍNH - KẾ HOẠCH </t>
  </si>
  <si>
    <t>BÁO CÁO</t>
  </si>
  <si>
    <t xml:space="preserve"> STT</t>
  </si>
  <si>
    <t xml:space="preserve"> Nội dung</t>
  </si>
  <si>
    <t>Số QĐ</t>
  </si>
  <si>
    <t>ngày, tháng</t>
  </si>
  <si>
    <t>Kinh phí quyết toán</t>
  </si>
  <si>
    <t>Nộp trả</t>
  </si>
  <si>
    <t>NGUỒN THỰC HIỆN CHÍNH SÁCH TIỀN LƯƠNG</t>
  </si>
  <si>
    <t>Nguồn năm trước</t>
  </si>
  <si>
    <t>Nguồn năm 2020 chuyển nguồn (đã bao gồm  70% tăng thu năm 2020)</t>
  </si>
  <si>
    <t>Nguồn  đầu năm</t>
  </si>
  <si>
    <t>CCTL đầu năm</t>
  </si>
  <si>
    <t>Nguồn trong năm</t>
  </si>
  <si>
    <t>Thu hồi cải cách tiền lương của xã</t>
  </si>
  <si>
    <t>Tổng kinh phí đã phân bổ</t>
  </si>
  <si>
    <t>13/8/2021</t>
  </si>
  <si>
    <t>Chi chương trình mục tiêu quốc gia giảm nghèo bền vững - CTMT 000470</t>
  </si>
  <si>
    <t xml:space="preserve">Dự án 2. Đa dạng hóa sinh kế, phát triển mô hình giảm nghèo </t>
  </si>
  <si>
    <t>Nguồn NSTW</t>
  </si>
  <si>
    <t>Nộp trả trong năm</t>
  </si>
  <si>
    <t>Dự án 4.  Phát triển giáo dục nghề nghiệp, việc làm bền vững</t>
  </si>
  <si>
    <t>Dự án 6. Truyền thông và giảm nghèo về thông tin</t>
  </si>
  <si>
    <t>Dự án 7. Nâng cao năng lực và giám sát, đánh giá Chương trình</t>
  </si>
  <si>
    <t>Nội dung thành phần số 03: Tiếp tục thực hiện có hiệu quả cơ cấu lại ngành nông nghiệp, phát triển kinh tế nông thôn</t>
  </si>
  <si>
    <t>Nội dung thành phần số 11: Tăng cường công tác giám sát, đánh giá thực hiện chương trình; Nâng cao năng lực, truyền thông xây dựng nông thôn mới; thực hiện phong trào thi đua cả nước chung sức xây dựng nông thôn mới</t>
  </si>
  <si>
    <t>Chương trình MTQG phát triển KT-XH vùng ĐBDTTS</t>
  </si>
  <si>
    <t>Dự án 4- Đầu tư cơ sở hạ tầng thiết yếu vùng đồng bào dân tộc thiểu số và miền núi; ưu tiên đối với các xã ĐBKK, thôn ĐBKK</t>
  </si>
  <si>
    <t>Nguồn NSĐP</t>
  </si>
  <si>
    <t>Dự án 1: Giải quyết tình trạng thiếu đất ở, nhà ở, đất sản xuất, nước sinh hoạt</t>
  </si>
  <si>
    <t>Dự án 3: Phát triển sản xuất nông, lâm nghiệp bền vững, phát huy tiềm năng, thế mạnh của các vùng miền để sản xuất hàng hóa theo chuỗi giá trị</t>
  </si>
  <si>
    <t>Tiểu dự án 1: Phát triển kinh tế nông, lâm nghiệp bền vững gắn với bảo vệ rừng và nâng cao thu nhập cho người dân</t>
  </si>
  <si>
    <t>Tiểu dự án 2: Hỗ trợ phát triển sản xuất theo chuỗi giá trị, vùng trồng dược liệu quý, thúc đẩy khởi sự kinh doanh, khởi nghiệp và thu hút đầu tư vùng đồng bào dân tộc thiểu số và miền núi</t>
  </si>
  <si>
    <t>2.2.2</t>
  </si>
  <si>
    <t>Dự án 5: Phát triển giáo dục đào tạo nâng cao chất lượng nguồn nhân lực</t>
  </si>
  <si>
    <t>Tiểu dự án 1: Đổi mới hoạt động, củng cố phát triển các trường phổ thông dân tộc nội trú, trường phổ thông dân tộc bán trú, trường phổ thông có học sinh ở bán trú và xóa mù chữ cho người dân vùng đồng bào dân tộc thiểu số</t>
  </si>
  <si>
    <t>Tiểu dự án 2: Bồi dưỡng kiến thức dân tộc; đào tạo dự bị đại học, đại học và sau đại học đáp ứng nhu cầu nhân lực cho vùng đồng bào dân tộc thiểu số và miền núi</t>
  </si>
  <si>
    <t>Tiểu dự án 3: Dự án phát triển giáo dục nghề nghiệp và giải quyết việc làm cho người lao động vùng dân tộc thiểu số và miền núi</t>
  </si>
  <si>
    <t>2.4.1</t>
  </si>
  <si>
    <t>2.4.2</t>
  </si>
  <si>
    <t>2.4.3</t>
  </si>
  <si>
    <t>Dự án 6: Bảo tồn, phát huy giá trị văn hóa truyền thống tốt đẹp của các dân tộc thiểu số gắn với phát triển du lịch</t>
  </si>
  <si>
    <t>Dự án 7: Chăm sóc sức khỏe Nhân dân, nâng cao thể trạng, tầm vóc người dân tộc thiểu số; phòng chống suy dinh dưỡng trẻ em</t>
  </si>
  <si>
    <t>Dự án 8: Thực hiện bình đẳng giới và giải quyết những vấn đề cấp thiết đối với phụ nữ và trẻ em</t>
  </si>
  <si>
    <t>Dự án 9: Đầu tư phát triển nhóm dân tộc thiểu số rất ít người và nhóm dân tộc còn nhiều khó khăn</t>
  </si>
  <si>
    <t>Dự án 10: Truyền thông, tuyên truyền, vận động trong vùng đồng bào dân tộc thiểu số và miền núi. Kiểm tra, giám sát đánh giá việc tổ chức thực hiện Chương trình</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</si>
  <si>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dân tộc thiểu số và miền núi giai đoạn 2021-2030</t>
  </si>
  <si>
    <t>2.9.1</t>
  </si>
  <si>
    <t>Tiểu dự án 2: Ứng dụng công nghệ thông tin hỗ trợ phát triển kinh tế - xã hội và đảm bảo an ninh trật tự vùng đồng bào dân tộc thiểu số và miền núi</t>
  </si>
  <si>
    <t>2.9.2</t>
  </si>
  <si>
    <t>2.9.3</t>
  </si>
  <si>
    <t>Tiểu dự án 3: Kiểm tra, giám sát, đánh giá, đào tạo, tập huấn tổ chức thực hiện Chương trình</t>
  </si>
  <si>
    <t>Nguồn chương trình mục tiêu quốc gia DTTS và miền núi</t>
  </si>
  <si>
    <t>Chi cải cách tiền lương</t>
  </si>
  <si>
    <t xml:space="preserve">Chi đầu tư phát triển khác </t>
  </si>
  <si>
    <t>Chương trình MTQGGNBV- Mã CTMT 000470</t>
  </si>
  <si>
    <t>Chương trình MTQGNTM -CTMT 00490</t>
  </si>
  <si>
    <t>Chương trình MTQGDTMN- Mã CTMT 00510</t>
  </si>
  <si>
    <t>QUYẾT TOÁN CHI ĐẦU TƯ PHÁT TRIỂN CỦA NGÂN SÁCH CẤP HUYỆN CHO TỪNG CƠ QUAN, TỔ CHỨC THEO LĨNH VỰC NĂM 2022</t>
  </si>
  <si>
    <t>Chi khác</t>
  </si>
  <si>
    <t>Sửa chữa nâng cấp hệ thống điện chiếu sáng Nội thị thị trấn Yến Lạc, huyện Na Rì</t>
  </si>
  <si>
    <t>Chương trình mục tiêu quốc gia nông thôn mới - CTMT 00490</t>
  </si>
  <si>
    <t>TỔNG CỘNG</t>
  </si>
  <si>
    <t>Cấp xã điều chỉnh sang nguồn tiết kiệm chi do kho bạc hạch toán nhầm nội dung (tiểu mục)</t>
  </si>
  <si>
    <t xml:space="preserve">Cấp xã phân bổ chi chỉnh mức trợ cấp hằng tháng đối với cán bộ xã nghỉ việc…. </t>
  </si>
  <si>
    <t>Chi trả theo NĐ 76</t>
  </si>
  <si>
    <t xml:space="preserve">Sự nghiệp kinh tế </t>
  </si>
  <si>
    <t>70% tăng thu làm nguồn CCTL 2022</t>
  </si>
  <si>
    <t>Thu hồi cải cách tiền lương của ĐV trường học</t>
  </si>
  <si>
    <t>Cấp kinh phí điều chỉnh mức trợ cấp cán bộ xã già yếu, nghỉ việc</t>
  </si>
  <si>
    <t>Cấp kinh phí trợ cấp công an viên, điều chỉnh lương</t>
  </si>
  <si>
    <t>Mượn nguồn chi trả chính sách an sinh (NĐ 20)</t>
  </si>
  <si>
    <t>Nộp trả ngân sách cấp huyện</t>
  </si>
  <si>
    <t xml:space="preserve">Thu từ khu vực DNNN do trung ương quản lý </t>
  </si>
  <si>
    <t>Thu từ khu vực DNNN do địa phương quản lý</t>
  </si>
  <si>
    <t xml:space="preserve">Lợi nhuận được chia của Nhà nước và lợi nhuận sau thuế còn lại sau khi trích lập các quỹ của doanh nghiệp nhà nước </t>
  </si>
  <si>
    <t>Chênh lệch thu chi Ngân hàng Nhà nước</t>
  </si>
  <si>
    <t xml:space="preserve">Chương trình MTQG phát triển KT-XH vùng ĐBDTTS (Mã CTMT: 0510) </t>
  </si>
  <si>
    <t>Vốn sự nghiệp- Nguồn Trung tỉnh</t>
  </si>
  <si>
    <t>Vốn sự nghiệp- Nguồn Trung ương</t>
  </si>
  <si>
    <t xml:space="preserve">Chương trình mục tiêu quốc gia XDNTM (Mã CTMT: 0490) </t>
  </si>
  <si>
    <t>Nguyễn Ngọc Cương</t>
  </si>
  <si>
    <t xml:space="preserve">Tên đơn vị </t>
  </si>
  <si>
    <t>Số quyết định, ngày tháng năm ban hành</t>
  </si>
  <si>
    <t>Cân đối NSĐP</t>
  </si>
  <si>
    <t>CTMTQG (NS tỉnh đối ứng)</t>
  </si>
  <si>
    <t>CT MTQG (NS tỉnh đối ứng)</t>
  </si>
  <si>
    <t>GIÁO DỤC ĐÀO TẠO VÀ DẠY NGHỀ</t>
  </si>
  <si>
    <t>VĂN HÓA THÔNG TIN</t>
  </si>
  <si>
    <t>CÁC HOẠT ĐỘNG KINH TẾ</t>
  </si>
  <si>
    <t>UBND xã Kim Lư</t>
  </si>
  <si>
    <t>Chi chương trình mục tiêu quốc gia giảm nghèo bền vững - CTMT 0470</t>
  </si>
  <si>
    <t>Dự án 1- Giải quyết tình trạng thiếu đất ở, nhà ở, đất sản xuất, nước sinh hoạt</t>
  </si>
  <si>
    <t>Dự án 6- Bảo tồn, phát huy giá trị văn hóa truyền thống tốt đẹp của các dân tộc thiểu số gắn với phát triển du lịch</t>
  </si>
  <si>
    <t>Xây dựng nhà hiệu bộ Trường TH&amp;THCS Cường Lợi, huyện Na Rì</t>
  </si>
  <si>
    <t xml:space="preserve">Dự án 3: Hỗ trợ phát triển sản xuất, cải thiện dinh dưỡng </t>
  </si>
  <si>
    <t>Tiểu dự án 1: Hỗ trợ phát triển sản xuất trong lĩnh vực nông lâm nghiệp</t>
  </si>
  <si>
    <t>Tiểu dự án 3: Hỗ trợ việc làm bền vững</t>
  </si>
  <si>
    <t>Tiểu dự án 2: Truyền thông về giảm nghèo đa chiều</t>
  </si>
  <si>
    <t>Tiểu dự án 1: Nâng cao năng lực thực hiện Chương trình</t>
  </si>
  <si>
    <t>Tiểu dự án 2: Giám sát, đánh giá</t>
  </si>
  <si>
    <t>Dự án 10: Truyền thông, tuyên truyền, vận động trong vùng đồng bào dân tộc thiểu số và miền núi. Kiểm tra, giám sát đánh giá việc tổ chức thực hiện Chương trình (Tiểu dự án 1)</t>
  </si>
  <si>
    <t>2.4.4</t>
  </si>
  <si>
    <t>Tiểu dự án 4: Đào tạo nâng cao năng lực cho cộng đồng và cán bộ triển khai Chương trình ở các cấp</t>
  </si>
  <si>
    <t>Kinh phí quản lý, bảo trì đường bộ địa phương năm 2023</t>
  </si>
  <si>
    <t>Nguồn dự phòng 2023</t>
  </si>
  <si>
    <t>Thị trấn</t>
  </si>
  <si>
    <t>Xuân dương</t>
  </si>
  <si>
    <t>DTTS</t>
  </si>
  <si>
    <t>L. Thượng</t>
  </si>
  <si>
    <t>S. Thành</t>
  </si>
  <si>
    <t>V.Lang</t>
  </si>
  <si>
    <t>D.Sơn</t>
  </si>
  <si>
    <t>V.Vũ</t>
  </si>
  <si>
    <t>V.Minh</t>
  </si>
  <si>
    <t>Đ.Xá</t>
  </si>
  <si>
    <t>L.Thủy</t>
  </si>
  <si>
    <t>K.Lư</t>
  </si>
  <si>
    <t>Nông thôn mới</t>
  </si>
  <si>
    <t>Phát triển hạ tầng kinh tế - xã hội, cơ bản đồng bộ, hiện đại, đảm bảo kết nối nông thôn - đô thị và kết nối các vùng miền”;</t>
  </si>
  <si>
    <t>Nộp trả ngân tỉnh</t>
  </si>
  <si>
    <t>UBND xã Côn Minh</t>
  </si>
  <si>
    <t>UBND xã Dương Sơn</t>
  </si>
  <si>
    <t>UBND xã Văn Minh</t>
  </si>
  <si>
    <t>UBND xã Kim Hỷ</t>
  </si>
  <si>
    <t>UBND xã Cư Lễ</t>
  </si>
  <si>
    <t>UBND xã Lương Thượng</t>
  </si>
  <si>
    <t>UBND xã Văn Lang</t>
  </si>
  <si>
    <t>UBND xã Sơn Thành</t>
  </si>
  <si>
    <t>UBND xã Văn Vũ</t>
  </si>
  <si>
    <t>UBND xã Trần Phú</t>
  </si>
  <si>
    <t>UBND xã Cường Lợi</t>
  </si>
  <si>
    <t>UBND xã Đổng Xá</t>
  </si>
  <si>
    <t>UBND xã Quang Phong</t>
  </si>
  <si>
    <t>Ban Đại diện Quỹ Hội nông dân huyện</t>
  </si>
  <si>
    <t>Nguồn tiết kiệm chi huyện 2022</t>
  </si>
  <si>
    <t>NSĐP DA4</t>
  </si>
  <si>
    <t>NTM</t>
  </si>
  <si>
    <t>Tiết kiệm chi</t>
  </si>
  <si>
    <t>Khắc phục sạt lở tường rào Trường PTDTBT THCS Văn Vũ, huyện Na Rì</t>
  </si>
  <si>
    <t>Xây dựng phòng học bộ môn Trường TH&amp;THCS Kim Lư, huyện Na Rì</t>
  </si>
  <si>
    <t>Khắc phục sạt lở tường kè bảo vệ sân Nhà Văn hóa thôn Háng Cáu, xã Kim Lư, huyện Na Rì</t>
  </si>
  <si>
    <t>Khắc phục sạt lở cống thoát nước đường thôn Khuổi Nộc, xã Lương Thượng, huyện Na Rì</t>
  </si>
  <si>
    <t>Khắc phục sạt lở ta luy âm đường trục thôn Thôm Pục, xã Sơn Thành, huyện Na Rì</t>
  </si>
  <si>
    <t>Khắc phục sạt lở đường bê tông thôn Lùng Pảng, xã Côn Minh, huyện Na Rì</t>
  </si>
  <si>
    <t>Khắc phục sạt lở cầu Khuổi Rịa, thôn Khuổi Vạc, xã Văn Vũ, huyện Na Rì</t>
  </si>
  <si>
    <t>Khắc phục sạt lở ta luy âm cầu Thoòng Kéo, tuyến đường Kim Hỷ - Vũ Muộn, huyện Na Rì</t>
  </si>
  <si>
    <t>Khắc phục sạt lở tuyến đường Cường Lợi - Vũ Loan, huyện Na Rì</t>
  </si>
  <si>
    <t>HOẠT ĐỘNG CỦA CÁC CƠ QUAN QLNN, ĐẢNG, ĐOÀN THỂ</t>
  </si>
  <si>
    <t>Đưa mốc giới ra thực địa và lập hồ sơ quản lý dữ liệu bằng hệ thống thông tin địa lý (GIS) quy hoạch chung xây dựng xã Sơn Thành, huyện Na Rì giai đoạn 2021-2030</t>
  </si>
  <si>
    <t>Hỗ trợ nhà ở thuộc dự án 1 Chương trình MTQG PTKT-XH vùng đồng bào DTTS &amp; MN giai đoạn 2021-2025 trên địa bàn xã Văn Vũ  huyện Na Rì  tỉnh Bắc Kạn năm 2023</t>
  </si>
  <si>
    <t>Chính sách hỗ trợ nhà ở thuộc dự án 1 Chương trình MTQG phát triển KT-XH vùng đồng bào DTTS&amp;MN giai đoạn 2021-2025 trên địa bàn xã Cường Lợi</t>
  </si>
  <si>
    <t>Thuế môn bài</t>
  </si>
  <si>
    <t xml:space="preserve"> NGUỒN CẢI CÁCH TIỀN LƯƠNG  NĂM 2023</t>
  </si>
  <si>
    <t>Na Rì, ngày 18 tháng 6 năm 2024</t>
  </si>
  <si>
    <r>
      <t xml:space="preserve">Trong đó: Hỗ trợ từ NSĐP </t>
    </r>
    <r>
      <rPr>
        <sz val="10"/>
        <rFont val="Times New Roman"/>
        <family val="1"/>
      </rPr>
      <t>(nếu có)</t>
    </r>
  </si>
  <si>
    <t>13=10-12</t>
  </si>
  <si>
    <t>14=1+6-8</t>
  </si>
  <si>
    <t>Quỹ Bảo trợ trẻ em</t>
  </si>
  <si>
    <t>Quỹ Vì người nghèo</t>
  </si>
  <si>
    <t>Đơn vị được hỗ trợ</t>
  </si>
  <si>
    <t>Văn bản của UBND huyện/ngày, tháng</t>
  </si>
  <si>
    <t>Kinh phí đối ứng ChildFund</t>
  </si>
  <si>
    <t xml:space="preserve"> BQL chương trình phát triển cộng đồng huyện Na Rì </t>
  </si>
  <si>
    <t>QĐ 4388/QĐ-UBND ngày 21/12/2022</t>
  </si>
  <si>
    <t xml:space="preserve">Kinh phí ủy thác để cho hộ nghèo và các đối tượng chính sách khác trên địa bàn huyện vay </t>
  </si>
  <si>
    <t>Phòng giao dịch ngân hàng chính sách xã hội huyện</t>
  </si>
  <si>
    <t>Hỗ trợ công tác quyết toán ngân sách năm 2023</t>
  </si>
  <si>
    <t>Kho bạc nhà nước huyện</t>
  </si>
  <si>
    <t>QĐ 5992/QĐ-UBND ngày 29/12/2023</t>
  </si>
  <si>
    <t>Hỗ trợ hoạt động của hội thẩm; Hỗ trợ kinh phí xét xử lưu động, phiên tòa trực tuyến</t>
  </si>
  <si>
    <t>Tòa àn huyện</t>
  </si>
  <si>
    <t>QĐ 1334/QĐ-UBND ngày 05/5/2023; QĐ 2836/QĐ-UBND ngày 20/9/2023</t>
  </si>
  <si>
    <t>Hỗ kinh phí đại hội điểm, địa hội đại biểu công đoàn lần thứ VIII, nhiệm kỳ 2023-2028</t>
  </si>
  <si>
    <t>Liên đoàn Lao động huyện</t>
  </si>
  <si>
    <t>QĐ 1334/QĐ-UBND ngày 05/5/2023</t>
  </si>
  <si>
    <t>Hỗ trợ HTX thực hiện Dự án liên kết trong sản xuất và tiêu thụ sản phẩm dê thương phẩm (Nguồn tỉnh cấp bổ sung)</t>
  </si>
  <si>
    <t>Hợp tác xã An Diệp</t>
  </si>
  <si>
    <t xml:space="preserve">QĐ 2083/QĐ-UBND ngày 01/8/2023; QĐ 5988/QĐ-UBND ngày 29/12/2023; </t>
  </si>
  <si>
    <t>Hỗ trợ HTX Dự án liên kết trong sản xuất và tiêu thụ sản phẩm khoai tây (Nguồn tỉnh cấp bổ sung)</t>
  </si>
  <si>
    <t>Hợp tác xã Bình Minh</t>
  </si>
  <si>
    <t>Văn bản của UBND Tỉnh /ngày, tháng</t>
  </si>
  <si>
    <t>Đơn vị sử dụng</t>
  </si>
  <si>
    <t>Số phân bổ</t>
  </si>
  <si>
    <t>Số quyết toán</t>
  </si>
  <si>
    <t>Nguồn tiền sử dụng đất 2023</t>
  </si>
  <si>
    <t>Năm 2022 còn dư chưa quyết toán chuyển sang</t>
  </si>
  <si>
    <t>QĐ 1689/QĐ-UBND ngày 01/6/2023</t>
  </si>
  <si>
    <t>Thu tiền sử dụng đất trong năm</t>
  </si>
  <si>
    <t>Chi tiền sử dụng đất</t>
  </si>
  <si>
    <t>Ban Quản lý dự án ĐTXD</t>
  </si>
  <si>
    <t>QĐ 2932/QĐ-UBND ngày 30/9/2023</t>
  </si>
  <si>
    <t>Giải phóng mặt bằng và san nền trụ sở công an xã Cư Lễ, xã Văn Vũ, huyện Na Rì</t>
  </si>
  <si>
    <t>QĐ 2007/QĐ-UBND ngày 25/7/2023</t>
  </si>
  <si>
    <t>xã Sơn Thành</t>
  </si>
  <si>
    <t>Đưa mốc giới ra thực địa và lập hồ sơ quản lý dữ liệu bằng hệ thống thông tin địa lý (GIS) quy hoạch chung xây dựng xã Văn Lang, huyện Na Rì giai đoạn 2021-2030</t>
  </si>
  <si>
    <t>xã Văn Lang</t>
  </si>
  <si>
    <t>Nguồn thu trong năm</t>
  </si>
  <si>
    <t xml:space="preserve">Cải tạo, nâng cấp đường Nặm Thiếu - Bản Sảng, liên xã Văn Lang -  thị trấn Yến Lạc, huyện Na Rì </t>
  </si>
  <si>
    <t>Thường xuyên</t>
  </si>
  <si>
    <t xml:space="preserve">Trả nợ cấp giấy </t>
  </si>
  <si>
    <t>Phòng Tài nguyên &amp;MT</t>
  </si>
  <si>
    <t>Cấp giấy chứng nhận quyền sử dụng đất</t>
  </si>
  <si>
    <t>Tiền sử dụng đất còn lại chuyển 2024</t>
  </si>
  <si>
    <t>Đã chi chuyển nguồn TKC</t>
  </si>
  <si>
    <t>Chuyển nguồn công trình</t>
  </si>
  <si>
    <t>Để kết dư ngân sách</t>
  </si>
  <si>
    <t>Phụ biểu số 04</t>
  </si>
  <si>
    <t>Số báo cáo/ phân bổ</t>
  </si>
  <si>
    <t>Chênh lệch</t>
  </si>
  <si>
    <t>KP CCTL năm 2022 chuyển sang</t>
  </si>
  <si>
    <t xml:space="preserve"> Chuyển nguồn ngân sách cấp huyện</t>
  </si>
  <si>
    <t xml:space="preserve">Quyết định số /QĐ-UBND ngày </t>
  </si>
  <si>
    <t xml:space="preserve"> Chuyển nguồn ngân sách cấp xã</t>
  </si>
  <si>
    <t xml:space="preserve">KP CCTL bố trí trong năm </t>
  </si>
  <si>
    <t xml:space="preserve">Quyết định số 4388/QĐ-UBND ngày </t>
  </si>
  <si>
    <t>Sở Tài chính cấp KP CCTL trong năm</t>
  </si>
  <si>
    <t>QĐ  2343/QĐ-UBND ngày 12/12/2023 của UBND tỉnh Bắc Kạn</t>
  </si>
  <si>
    <t>Hoàn trả nguồn cải cách tiền lương</t>
  </si>
  <si>
    <t>QĐ  5993/QĐ-UBND ngày 29/12/2023 của UBND huyện Na Rì</t>
  </si>
  <si>
    <t>70% Tăng thu ngân sách</t>
  </si>
  <si>
    <t>70% Tăng thu ngân sách huyện</t>
  </si>
  <si>
    <t>70% Tăng thu ngân sách xã</t>
  </si>
  <si>
    <t xml:space="preserve">Tổng nguồn KP CCTL có trong năm </t>
  </si>
  <si>
    <t>Đã phân bổ sử dụng và quyết toán</t>
  </si>
  <si>
    <t>Phân bổ kinh phí thực hiện mức lương cơ sở đợt 1</t>
  </si>
  <si>
    <t>QĐ 2844/QĐ-UBND ngày 22/9/2023 của UBND huyện Na Rì</t>
  </si>
  <si>
    <t>Phân bổ kinh phí thực hiện mức lương cơ sở đợt 2</t>
  </si>
  <si>
    <t>QĐ 5794/QĐ-UBND ngày 18/12/2023 của UBND huyện Na Rì</t>
  </si>
  <si>
    <t xml:space="preserve">Cấp xã phân bổ kinh phí thực hiện mức lương cơ sở </t>
  </si>
  <si>
    <t>KP CCTL còn lại chuyển 2023</t>
  </si>
  <si>
    <t>Đã chi chuyển nguồn NS cấp huyện</t>
  </si>
  <si>
    <t>Quyết định số 1347/QĐ-UBND ngày 13/5/2024</t>
  </si>
  <si>
    <t>Đã chi chuyển nguồn NS cấp xã</t>
  </si>
  <si>
    <t>Đã chi chuyển nguồn tại các đơn vị</t>
  </si>
  <si>
    <t>Để kết dư NS cấp huyện</t>
  </si>
  <si>
    <t>Để kết dư NS cấp xã</t>
  </si>
  <si>
    <t>Để dư tại các đơn vị dự toán</t>
  </si>
  <si>
    <t>Phụ biểu số 01</t>
  </si>
  <si>
    <t>Đơn vị tính:  đồng</t>
  </si>
  <si>
    <t>Tỉnh giao</t>
  </si>
  <si>
    <t xml:space="preserve">Huyện phân bổ </t>
  </si>
  <si>
    <t>Còn dư</t>
  </si>
  <si>
    <t xml:space="preserve">Chi tiết theo nội dung </t>
  </si>
  <si>
    <t>Số văn bản/ ngày tháng năm</t>
  </si>
  <si>
    <t>Bổ sung mục tiêu đầu năm</t>
  </si>
  <si>
    <t>Hỗ trợ đưa người lao động đi làm việc ở nước ngoài</t>
  </si>
  <si>
    <t>Hỗ trợ thực hiện CT phát triển lâm nghiệp bền vững</t>
  </si>
  <si>
    <t>Cấp bổ sung kinh phí cho UBND các xã, thị trấn để thực hiện CT phát triển lâm nghiệp bền vững năm 2023</t>
  </si>
  <si>
    <t>Ngân sách tỉnh đối ứng thực hiện CTMTQG</t>
  </si>
  <si>
    <t xml:space="preserve">Dân tộc thiểu số </t>
  </si>
  <si>
    <t>Phân bổ kinh phí thực hiện Chương trình MTQG dân tộc thiểu số năm 2023</t>
  </si>
  <si>
    <t>Phân bổ kinh phí thực hiện Chương trình MTQG dân tộc thiểu số năm 2023 (lần 1)</t>
  </si>
  <si>
    <t>Phân bổ kinh phí thực hiện Chương trình MTQG dân tộc thiểu số năm 2023 (lần 2)</t>
  </si>
  <si>
    <t>Vốn SN</t>
  </si>
  <si>
    <t>Cấp kinh phí thực hiện Chương trình MTQG dân tộc thiểu số năm 2023</t>
  </si>
  <si>
    <t>Giảm nghèo bền vững - Vốn SN</t>
  </si>
  <si>
    <t>Cấp kinh phí thực hiện Chương trình MTQG Giảm nghèo bền vững năm 2023</t>
  </si>
  <si>
    <t>Phân bổ kinh phí thực hiện Chương trình MTQG Nông thôn mới năm 2023</t>
  </si>
  <si>
    <t>Cấp kinh phí thực hiện Chương trình MTQG Nông thôn mới năm 2023</t>
  </si>
  <si>
    <t>Nguồn NS địa phương cân đối cấp tỉnh hỗ trợ thực hiện CT NTM</t>
  </si>
  <si>
    <t>V/v điều chỉnh, phân bổ kế hoạch đầu tư công năm 2023 (nguồn ngân sách địa phương) cấp huyện điều hành (lần 1)</t>
  </si>
  <si>
    <t>Ngân sách Trung ương thực hiện CTMTQG</t>
  </si>
  <si>
    <t>7.2</t>
  </si>
  <si>
    <t>Giảm nghèo bền vững (Vốn SN)</t>
  </si>
  <si>
    <t>7.3</t>
  </si>
  <si>
    <t>CẤP BỔ SUNG TRONG NĂM</t>
  </si>
  <si>
    <t>Về việc phân bổ và giao dự toán kinh phí sự nghiệp thực hiện Chương trình mục tiêu quốc gia phát triển kinh tế - xã hội vùng đồng bào dân tộc thiểu số và miền núi nguồn năm 2022 và 2023 chưa phân bổ</t>
  </si>
  <si>
    <t xml:space="preserve">Ngân sách Trung ương </t>
  </si>
  <si>
    <t>24/3/2023</t>
  </si>
  <si>
    <t>Về việc phân bổ và giao kinh phí sự nghiệp thực hiện Chương trình MTQG PTKT-XH vùng đồng bào dân tộc thiểu số và miền núi năm 2023 (NSTW)</t>
  </si>
  <si>
    <t>18/7/2023</t>
  </si>
  <si>
    <t>Về việc phân bổ và giao kinh phí sự nghiệp thực hiện Chương trình MTQG PTKT-XH vùng đồng bào dân tộc thiểu số và miền núi năm 2023 (lần 2) (NSTW)</t>
  </si>
  <si>
    <t>Ngân sách Địa phương</t>
  </si>
  <si>
    <t>Về việc phân bổ và giao kinh phÍ sự nghiệp thực hiện Chương trình MTQG PTKT-XH vùng đồng bào dân tộc thiểu số và miền núi năm 2023 (NSĐP)</t>
  </si>
  <si>
    <t>Về việc phân bổ và giao kinh phí sự nghiệp thực hiện Chương trình MTQG PTKT-XH vùng đồng bào dân tộc thiểu số và miền núi năm 2023 (lần 2)(NSĐP)</t>
  </si>
  <si>
    <t>Về việc trợ cấp và cấp bổ sung kinh phí trợ cấp Dân quân không tham gia bảo hiểm xã hội bị tai nạn</t>
  </si>
  <si>
    <t>06/4/2023</t>
  </si>
  <si>
    <t>Về việc cấp bổ sung cho UBND xã Văn Lang để thực hiện trợ cấp cho Dân quân không tham gia bảo hiểm xã hội bị tai nạn</t>
  </si>
  <si>
    <t>Quyết định số 773/QĐ-UBND ngày 08/5/2023 của UBND tỉnh Bắc Kạn về việc phân bổ và giao dự toán kinh phí sự nghiệp cho các đơn vị, địa phương thực hiện nhiệm vụ năm 2023 (bổ sung lần 2)</t>
  </si>
  <si>
    <t>Thực hiện nhiệm vụ</t>
  </si>
  <si>
    <t xml:space="preserve"> Chuyển đổi số </t>
  </si>
  <si>
    <t>Về việc cấp bổ sung cho UBND các xã, thị trấn thực hiện nhiệm vụ</t>
  </si>
  <si>
    <t>KP đào tạo, bồi dưỡng NQ 16/2022/NQ-HĐND tỉnh</t>
  </si>
  <si>
    <t>Về việc cấp bổ sung cho Phòng GD&amp;ĐT thực hiện nhiệm vụ</t>
  </si>
  <si>
    <t>Chương trình giảm nghèo</t>
  </si>
  <si>
    <t>Về việc phân bổ kinh phí sự nghiệp thực hiện Chương trình MTQG giảm nghèo bền vững năm 2023 (lần 1)</t>
  </si>
  <si>
    <t>Ngân sách cấp tỉnh</t>
  </si>
  <si>
    <t>Chương trình Nông thôn mới</t>
  </si>
  <si>
    <t xml:space="preserve">Chương trình DT thiểu số </t>
  </si>
  <si>
    <t>Vv phân bổ và giao kinh phí sự nghiệp thực hiện Chương trình MTQG PTKT-XH vùng đồng bào dân tộc thiểu số và miền núi năm 2023 (lần 2)</t>
  </si>
  <si>
    <t>Quyết định số 1031/QĐ-UBND ngày 13/6/2023 của UBND tỉnh Bắc Kạn về việc phân bổ và giao dự toán kinh phí sự nghiệp cho các đơn vị, địa phương thực hiện nhiệm vụ năm 2023 (bổ sung lần 3)</t>
  </si>
  <si>
    <t>Xã hội học tâp</t>
  </si>
  <si>
    <t>KP thực hiện các dự án liên kết trong sản xuất và tiêu thụ sản phẩm</t>
  </si>
  <si>
    <t>Về việc phân bổ chi tiết kinh phí để hỗ trợ thực hiện các dự án liên kết trong sản xuất và tiêu thụ sản phẩm nông nghiệp trên địa bàn huyện Na Rì năm 2023</t>
  </si>
  <si>
    <t>KP thực hiện NĐ 108/NĐ-CP</t>
  </si>
  <si>
    <t>về việc phân bổ và giao dự toán kinh phí sự nghiệp cho các đơn vị, địa phương thực hiện nhiệm vụ năm 2023 (bổ sung lần 4)</t>
  </si>
  <si>
    <t>Về việc cấp bổ sung kinh phí cho Phòng Giáo dục và Đào tạo thực hiện mua sắm bổ sung thiết bị dạy học tối thiểu, đồ dùng, đồ chơi năm 2023</t>
  </si>
  <si>
    <t xml:space="preserve"> Về việc cấp bổ sung kinh phí cho UBND các huyện thành phố để thực hiện nhiệm vụ từ nguồn tăng thu, tiết kiệm chi năm 2022 đã chuyển nguồn sang năm năm 2023 (đợt 2)</t>
  </si>
  <si>
    <t>Về việc cấp bổ sung kinh phí cho Phòng Lao động Thương binh &amp; Xã hội thực hiện chính sách theo Nghị quyết số 20/2022/NQ-HĐND ngày 10/12/2022 của HĐND tỉnh trên địa bàn huyện Na Rì năm 2023</t>
  </si>
  <si>
    <t>Về việc phân bổ và giao dự toán kinh phí sự nghiệp cho các đơn vị, địa phương thực hiện nhiệm vụ (bổ sung lần 5)</t>
  </si>
  <si>
    <t>Về việc cấp bổ sung kinh phí cho UBND các xã thực hiện chế độ, chính sách năm 2023</t>
  </si>
  <si>
    <t>Quyết định số 2071/QĐ-UBND ngày 10/11/2023 của UBND tỉnh Bắc Kạn về việc cấp bổ sung kinh phí cho các đơn vị, địa phương để thực hiện nhiệm vụ năm 2023</t>
  </si>
  <si>
    <t>Về việc cấp kinh phí cho UBND các xã, thị trấn thực hiện hỗ trợ đối với cây trồng để khôi phục sản xuất vùng bị thiệt hại do thiên tai trên địa bàn huyện năm 2023</t>
  </si>
  <si>
    <t>Về việc cấp bổ sung kinh phí để thực hiện chính sách hỗ trợ theo Nghị quyết số 05/2020/NQ-HĐND  ngày 05/5/2020 của Hội đồng nhân dân tỉnh đối với cán bộ, công chcứ xã nghỉ hưu trước tuổi, thôi việc đợt 15</t>
  </si>
  <si>
    <t>Về việc phân bổ và giao dự toán kinh phí sự nghiệp cho các đơn vị, địa phương thực hiện nhiệm vụ (bổ sung lần 6)</t>
  </si>
  <si>
    <t xml:space="preserve">Thực hiện Nghị định 29/2023 </t>
  </si>
  <si>
    <t>Về việc phân bổ kinh phí cho các đơn vị, UBND các xã, thị trấn để thực hiện mức lương cơ sở theo Nghị định số 24/2023/NĐ-CP (đợt 2); chính sách an sinh xã hội còn thiếu năm 2023</t>
  </si>
  <si>
    <t xml:space="preserve">Chính sách miễn, giảm học phí, hỗ trợ chi phí học tập theo Nghị định số 81/2021/NĐ-CP ngày 27/8/2021 của Chính phủ </t>
  </si>
  <si>
    <t xml:space="preserve">Chính sách hỗ trợ học sinh bán trú và trường phổ thông theo Nghị định 116/2016/NĐ-CP ngày 18/7/2016 của Chính phủ </t>
  </si>
  <si>
    <t>Học bổng cho học sinh dân tộc nội trú theo Thông tư liên tịch số 109/2009/TTLT-BTC-BGDĐT ngày 29/05/2009  của Liên Bộ, Bộ Tài chính, Bộ Giáo dục và Đào tạo</t>
  </si>
  <si>
    <t>Kinh phí hỗ trợ giáo viên dạy học sinh khuyết tật theo Nghị định số 113/2015/NĐ-CP ngày 9/11/2015 của Chính phủ</t>
  </si>
  <si>
    <t xml:space="preserve">Kinh phí bổ nhiệm chức danh nghề nghiệp sự nghiệp giáo dục </t>
  </si>
  <si>
    <t>Về việc điều chỉnh kế hoạch đầu tư công năm 2023 (lần 6) và kế hoạch vốn đầu tư công năm 2022 kéo dài thời gian thực hiện và giải ngân sang năm 2023 thực hiện các Chương trình mục tiêu quốc gia trên địa bàn tỉnh Bắc Kạn</t>
  </si>
  <si>
    <t>Về việc cấp bổ sung kinh phí cho UBND huyện Na Rì thực hiện chính sách hỗ trợ theo Nghị quyết số 05/2020/NQ-HĐND ngày 05/5/2020 của Hội đồng nhân dân tỉnh đối với cán bộ, công chức cấp xã nghỉ hưu trước tuổi, thôi việc đợt 16;</t>
  </si>
  <si>
    <t>Về việc cấp bổ sung kinh phí cho UBND xã Cường Lợi thực hiện chính sách hỗ trợ theo Nghị quyết số 05/2020/NQ-HĐND ngày 05/5/2020 của Hội đồng nhân dân tỉnh đối với cán bộ, công chức cấp xã nghỉ hưu trước tuổi, thôi việc năm 2023</t>
  </si>
  <si>
    <t>Về việc cấp bổ sung kinh phí cho các đơn vị địa phương để thực hiện nhiệm vụ năm 2023</t>
  </si>
  <si>
    <t>Về việc cấp kinh phí để hỗ trợ thực hiện các dự án liên kết trong sản xuất và tiêu thụ sản phẩm nông nghiệp trên địa bàn huyện Na Rì năm 2023 (lần 2)</t>
  </si>
  <si>
    <t>Về việc cấp bổ sung kinh phí cho các đơn vị, địa phương để thực hiện nhiệm vụ năm 2023</t>
  </si>
  <si>
    <t>Về việc cấp bổ sung kinh phí cho UBND các xã, thị trấn để thực hiện nhiệm vụ năm 2023</t>
  </si>
  <si>
    <t>THU  HỒI TRONG NĂM</t>
  </si>
  <si>
    <t>Về việc thu hồi nguồn kinh phí thực hiện các chương trình, nhiệm vụ năm 2023 còn dư, không thực hiện được của UBND các huyện, thành phố về ngân sách cấp tỉnh (268)</t>
  </si>
  <si>
    <t>Nộp trả kinh phí quản lý, bảo trì đường bộ địa phương năm 2023</t>
  </si>
  <si>
    <t>Chính sách hỗ trợ chi phí học tập và miễn giảm học phí cho học sinh phổ thông và cao đẳng đại học theo Nghị định 81/2021/NĐ-CP ngày 27/8/2021 của Chính phủ</t>
  </si>
  <si>
    <t>Nộp trả Chính sách hỗ trợ chi phí học tập và miễn giảm học phí cho học sinh phổ thông và cao đẳng đại học theo Nghị định 81/2021/NĐ-CP ngày 27/8/2021 của Chính phủ</t>
  </si>
  <si>
    <t>Kinh phí đào tạo, bồi dưỡng giáo viên trên địa bàn tỉnh theo Nghị quyết số 16/2022/NQ-HĐND ngày 18/10/2022 của HĐND tỉnh</t>
  </si>
  <si>
    <t xml:space="preserve">Kinh phí xây dựng xã hội học tập </t>
  </si>
  <si>
    <t xml:space="preserve">Nộp trả kinh phí xây dựng xã hội học tập </t>
  </si>
  <si>
    <t>Kinh phí mua sắm thiết bị trường học năm 2023</t>
  </si>
  <si>
    <t>Nộp trả kinh  phí mua sắm thiết bị trường học năm 2023</t>
  </si>
  <si>
    <t>Kinh phí  thực hiện chính sách trợ giúp xã hội theo Nghị quyết số 20/2022/NQ-HĐND ngày 10/12/2022 của HĐND tỉnh năm 2023 trên địa bàn tỉnh Bắc Kạn</t>
  </si>
  <si>
    <t>Nộp trả kinh  phí  thực hiện chính sách trợ giúp xã hội theo Nghị quyết số 20/2022/NQ-HĐND ngày 10/12/2022 của HĐND tỉnh năm 2023 trên địa bàn tỉnh Bắc Kạn</t>
  </si>
  <si>
    <t>Về việc thu hồi nguồn kinh phí thực hiện các chương trình, nhiệm vụ năm 2023 còn dư, không thực hiện được của các đơn vị, địa phương về ngân sách cấp tỉnh đợt 2 </t>
  </si>
  <si>
    <t>Nộp trả kinh phí mua sắm thiết bị trường học năm 2023</t>
  </si>
  <si>
    <t>186a</t>
  </si>
  <si>
    <t xml:space="preserve">Về việc thu hồi về ngân sách cấp tỉnh số dư kinh phí sự nghiệp năm 2023 của một số dự án, tiểu dự án, nội dung thành phần thuộc Chương trình mục tiêu quốc gia xây dựng nông thôn mới và Chương trình mục tiêu quốc gia phát triển kinh tế - xã hội vùng đồng bào dân tộc thiểu số và miền núi </t>
  </si>
  <si>
    <t>Tiểu dự án 2, DA 3: Hỗ trợ phát triển sản xuất theo chuỗi giá trị, vùng trồng dược liệu quý, thúc đẩy khởi sự kinh doanh, khởi nghiệp và thu hút đầu tư vùng đồng bào dân tộc thiểu số và miền núi</t>
  </si>
  <si>
    <t xml:space="preserve">Nộp trả Chương trình mục tiêu quốc gia phát triển kinh tế - xã hội vùng đồng bào dân tộc thiểu số và miền núi </t>
  </si>
  <si>
    <t>Nội dung thành phần số 02: Phát triển hạ tầng kinh tế - xã hội, cơ bản đồng bộ, hiện đại, đảm bảo kết nối nông thôn - đô thị và kết nối các vùng miền</t>
  </si>
  <si>
    <t xml:space="preserve">Nộp trả Chương trình mục tiêu quốc gia xây dựng nông thôn mới </t>
  </si>
  <si>
    <t>Phụ biểu số 02</t>
  </si>
  <si>
    <t>Dự phòng năm 2022 chuyển sang</t>
  </si>
  <si>
    <t xml:space="preserve">Dự phòng giao trong DT đầu năm </t>
  </si>
  <si>
    <t>Bổ sung nguồn dự phòng trong năm</t>
  </si>
  <si>
    <t>Cấp bổ sung thực hiện nhiệm vụ</t>
  </si>
  <si>
    <t>2071/QĐ-UBND ngày 10/11/2023</t>
  </si>
  <si>
    <t xml:space="preserve">Cấp bổ sung thực hiện nhiệm vụ </t>
  </si>
  <si>
    <t>2501/QĐ-UBND ngày 2/12/2023</t>
  </si>
  <si>
    <t>Tổng nguồn dự phòng 2023</t>
  </si>
  <si>
    <t>Hỗ trợ kinh phí diễn tập chiến đấu phòng thủ năm 2023</t>
  </si>
  <si>
    <t>2386/QĐ-UBND ngày 20/9/2023</t>
  </si>
  <si>
    <t xml:space="preserve">UBND xã Văn Lang </t>
  </si>
  <si>
    <t>Cấp bổ sung kinh phí thực hiện hỗ trợ đối với cây trồng để khôi phục sản xuất vùng bị thiệt hại do thiên tai trên địa huyện năm 2023</t>
  </si>
  <si>
    <t>5675/QĐ-UBND ngày 04/12/2023</t>
  </si>
  <si>
    <t>UBND xã Liêm Thuỷ</t>
  </si>
  <si>
    <t xml:space="preserve">UBND xã Xuân Dương </t>
  </si>
  <si>
    <t xml:space="preserve">UBND thị trấn Yến Lạc </t>
  </si>
  <si>
    <t>6078/QĐ-UBND ngày 31/12/2023</t>
  </si>
  <si>
    <t>Kè khắc phục sạt lở đất tại Tổ nhân dân Pàn Chầu, thị trấn Yến Lạc,  huyện Na Rì</t>
  </si>
  <si>
    <t>1331/QĐ-UBND ngày 05/5/2023</t>
  </si>
  <si>
    <t>Ban Quản lý các dự án</t>
  </si>
  <si>
    <t>5468/QĐ-UBND ngày 15/11/2023; 5597/QĐ-UBND ngày 29/11/2023</t>
  </si>
  <si>
    <t>Dự phòng còn lại chuyển 2024</t>
  </si>
  <si>
    <t>Đã chi chuyển nguồn (tiết kiệm chi)</t>
  </si>
  <si>
    <t>Để kết dư ngân sách huyện</t>
  </si>
  <si>
    <t>Để kết dư ngân sách xã</t>
  </si>
  <si>
    <t>THUYẾT MINH CẤP LỆNH CHI THỰC HIỆN KINH PHÍ HỖ TRỢ NGOÀI NHIỆM VỤ PHÂN CẤP NĂM 2023 (CẤP HUYỆN)</t>
  </si>
  <si>
    <t>THUYẾT MINH KẾT QUẢ THỰC HIỆN THU, CHI TIỀN SỬ DỤNG ĐẤT NĂM 2023 (CẤP HUYỆN)</t>
  </si>
  <si>
    <t>Nguồn tăng thu, tiết kiệm chi thu tiền sử dụng đất năm 2022</t>
  </si>
  <si>
    <t>Phụ biểu số 03</t>
  </si>
  <si>
    <t>THUYẾT MINH THỰC HIỆN KINH PHÍ CẢI CÁCH TIỀN LƯƠNG NĂM 2023</t>
  </si>
  <si>
    <t>Quyết định số 1347/QĐ-UBND ngày 13/5/2024; 1645/QĐ-UBND ngày 06/6/2024</t>
  </si>
  <si>
    <t xml:space="preserve"> UBND Tỉnh, huyện ngày, tháng, năm</t>
  </si>
  <si>
    <t>BIỂU TỔNG HỢP TÌNH HÌNH THỰC HIỆN KINH PHÍ TỈNH CẤP BỔ SUNG CÓ MỤC TIÊU VÀ HUYỆN PHÂN BỔ NĂM 2023</t>
  </si>
  <si>
    <t>THUYẾT MINH THỰC HIỆN KINH PHÍ DỰ PHÒNG NGÂN SÁCH CẤP HUYỆN NĂM 2023</t>
  </si>
  <si>
    <t>Phụ biểu số 05</t>
  </si>
  <si>
    <t>ĐVT: triệu đồng</t>
  </si>
  <si>
    <t>Cấp Huyện</t>
  </si>
  <si>
    <t>Dự toán thu ngân sách địa phương năm 2023 (Dự toán  tỉnh giao)</t>
  </si>
  <si>
    <t>Trong đó, các khoản loại trừ không tính tăng thu</t>
  </si>
  <si>
    <t>Thu xổ số</t>
  </si>
  <si>
    <t>Ghi thu ghi chi</t>
  </si>
  <si>
    <t>Thu hoa lợi, công sản tại xã</t>
  </si>
  <si>
    <t>Dự toán sau loại trừ các khoản không tính tăng thu</t>
  </si>
  <si>
    <t xml:space="preserve">Thực hiện thu ngân sách địa phương năm 2023 </t>
  </si>
  <si>
    <t>Kết dư 2022</t>
  </si>
  <si>
    <t>Thu kết dư 2022 xã</t>
  </si>
  <si>
    <t>Thu năm 2023</t>
  </si>
  <si>
    <t>Thu lãi từ các khoản cho vay</t>
  </si>
  <si>
    <t>Phí bảo vệ môi trường đối với khai thác khoáng sản</t>
  </si>
  <si>
    <t>Thu hồi các khoản chi năm trước</t>
  </si>
  <si>
    <t>Thực hiện thu ngân sách địa phương năm 2023 sau khi loại trừ các khoản không tính tăng thu</t>
  </si>
  <si>
    <t>Tăng thu ngân sách địa phương không kể thu tiền sử dụng đất, thu tại xã và các khoản thu quản lý qua ngân sách nhà nước năm 2023</t>
  </si>
  <si>
    <t>70% tăng thu ngân sách địa phương năm 2023</t>
  </si>
  <si>
    <t>HỤT THU</t>
  </si>
  <si>
    <t>TĂNG THU</t>
  </si>
  <si>
    <t>70% làm nguồn cải cách tiền lương</t>
  </si>
  <si>
    <t>30% chi đầu tư</t>
  </si>
  <si>
    <t xml:space="preserve">Làm tròn số </t>
  </si>
  <si>
    <t>70 % Nguồn cải cách tiền lương</t>
  </si>
  <si>
    <t>Nguồn tăng thu</t>
  </si>
  <si>
    <t>Phụ lục số 06</t>
  </si>
  <si>
    <t>Phụ biểu 01</t>
  </si>
  <si>
    <t>Phụ biểu 02</t>
  </si>
  <si>
    <t xml:space="preserve">THUYẾT MINH SỐ LIỆU TĂNG THU/HỤT THU NGÂN SÁCH NĂM 2023 CẤP HUYỆN </t>
  </si>
  <si>
    <t>Nội dung thành phần số 07: Nâng cao chất lượng môi trường, xây dựng cảnh quan nông thôn sáng-xanh-sạch-đẹp, an toàn; giữ gìn và khôi phục cảnh quan truyền thống nông thôn</t>
  </si>
  <si>
    <t>Điều chỉnh theo cơ chế đặc thù</t>
  </si>
  <si>
    <t xml:space="preserve">Tăng </t>
  </si>
  <si>
    <t>Giảm</t>
  </si>
  <si>
    <t>Sửa chữa Trường Phổ thông Dân tộc bán trú THCS Văn Vũ</t>
  </si>
  <si>
    <t>Sửa chữa ngầm Nà Hẻo, thôn Nà Deng, xã Văn Vũ</t>
  </si>
  <si>
    <t>Tên xã, thị trấn</t>
  </si>
  <si>
    <t xml:space="preserve">Chi đầu tư khác (Dư đầu năm chưa phân bổ) </t>
  </si>
  <si>
    <t>Na Rì, ngày 02 tháng 5 năm 2025</t>
  </si>
  <si>
    <t>Nguồn chương trình mục tiêu quốc gia XD NTM</t>
  </si>
  <si>
    <t>Kế hoạch năm 2025</t>
  </si>
  <si>
    <t>Dư nguồn đến ngày 31/12/2024</t>
  </si>
  <si>
    <t>Quỹ Đền ơn đáp nghĩa</t>
  </si>
  <si>
    <t>Quỹ Ban cứu trợ</t>
  </si>
  <si>
    <t>Quyết định đầu tư ban đầu</t>
  </si>
  <si>
    <t xml:space="preserve">Tổng mức đầu tư </t>
  </si>
  <si>
    <t xml:space="preserve">Tổng mức đầu tư được duyệt </t>
  </si>
  <si>
    <t>CTMTQG</t>
  </si>
  <si>
    <t>CT MT QG</t>
  </si>
  <si>
    <t>CTMT QG</t>
  </si>
  <si>
    <t>3381/QĐ-UBND ngày 21/10/2024</t>
  </si>
  <si>
    <t xml:space="preserve">Xây dựng hệ thống cấp nước sinh hoạt thôn Nà Khun, Nà Sang, xã Cường Lợi, huyện Na Rì   </t>
  </si>
  <si>
    <t>663/QĐ-UBND ngày 25/3/2024</t>
  </si>
  <si>
    <t>3391/QĐ-UBND ngày 21/10/2024</t>
  </si>
  <si>
    <t>3603/QĐ-UBND ngày 06/11/2024</t>
  </si>
  <si>
    <t>Đường ngõ xóm thôn Nà Sha, xã Cường Lợi, huyện Na Rì</t>
  </si>
  <si>
    <t>Đường nội đồng Nà Ruộng - Nà Khưa, Cường Lợi.</t>
  </si>
  <si>
    <t>Số 243/QĐ-UBND ngày 21/10/2024 của UBND xã Cường Lợi</t>
  </si>
  <si>
    <t>Quy hoạch chi tiết  xây dựng điểm dân cư nông thôn xã Cường Lợi  huyện Na Rì  tỉnh Bắc Kạn</t>
  </si>
  <si>
    <t>Đường bê tông Khuổi Tàn (GĐ3), xã Văn Vũ</t>
  </si>
  <si>
    <t>Số 285/QĐ-UBND ngày 22/10/2024 của UBND xã Văn Vũ</t>
  </si>
  <si>
    <t>Đường bê tông Pác Rọ - Khuổi Rịa thôn Khuổi Vạc, xã Văn Vũ</t>
  </si>
  <si>
    <t>Số 284/QĐ-UBND ngày 22/10/2024 của UBND xã Văn Vũ</t>
  </si>
  <si>
    <t>Đường bê tông Chất Lường - Nà Tòng, thôn Nà Cằm, xã Văn Vũ, huyện Na Rì, tỉnh Bắc Kạn</t>
  </si>
  <si>
    <t>Số 325/QĐ-UBND ngày 07/12/2023 của UBND xã Văn Vũ</t>
  </si>
  <si>
    <t>UBND XÃ CƯỜNG LỢI</t>
  </si>
  <si>
    <t>QUYẾT TOÁN CÂN ĐỐI NGÂN SÁCH ĐỊA PHƯƠNG NĂM 2025</t>
  </si>
  <si>
    <t>Biểu mẫu số 48</t>
  </si>
  <si>
    <t>TỔNG QUYẾT TOÁN NGÂN SÁCH XÃ CƯỜNG LỢI NĂM 2025</t>
  </si>
  <si>
    <t>BỘI CHI NSĐP/BỘI THU NSĐP/KẾT DƯ NSĐP</t>
  </si>
  <si>
    <t>CHI TRẢ NỢ GỐC CỦA NSĐP</t>
  </si>
  <si>
    <t>Từ nguồn vay để trả nợ gốc</t>
  </si>
  <si>
    <t>Từ nguồn bội thu, tăng thu, tiết kiệm chi, kết dư ngân sách cấp tỉnh</t>
  </si>
  <si>
    <t>TỔNG MỨC VAY CỦA NSĐP</t>
  </si>
  <si>
    <t>Vay để bù đắp bội chi</t>
  </si>
  <si>
    <t>Vay để trả nợ gốc</t>
  </si>
  <si>
    <t>G</t>
  </si>
  <si>
    <t>TỔNG MỨC DƯ NỢ VAY CUỐI NĂM CỦA NSĐP</t>
  </si>
  <si>
    <t>Biểu mẫu số 53</t>
  </si>
  <si>
    <t>Chi các chương trình mục tiêu, nhiệm vụ</t>
  </si>
  <si>
    <t>Biểu mẫu số 49</t>
  </si>
  <si>
    <t>Thu từ quỹ dự trữ tài chính (1)</t>
  </si>
  <si>
    <t>Chi trả nợ gốc từ nguồn bội thu, tăng thu, tiết kiệm, kết dư ngân sách cấp tỉnh (1)</t>
  </si>
  <si>
    <t>Bội chi NSĐP/Kết dư NSĐP (1)</t>
  </si>
  <si>
    <t>Thu tài trợ</t>
  </si>
  <si>
    <t>Chi bổ sung cho ngân sách cấp dưới (2)</t>
  </si>
  <si>
    <t>QUYẾT TOÁN CÂN ĐỐI NGUỒN THU, CHI NGÂN SÁCH CẤP XÃ NĂM 2025</t>
  </si>
  <si>
    <t>NGÂN SÁCH CẤP TỈNH (HUYỆN)</t>
  </si>
  <si>
    <t>Quyết toán cân đối  ngân sách địa phương năm 2025</t>
  </si>
  <si>
    <t>Quyết toán cân đối nguồn thu, chi ngân sách xã năm 2025</t>
  </si>
  <si>
    <t>Biểu mẫu số 50</t>
  </si>
  <si>
    <t>Quyết toán nguồn thu ngân sách nhà nước trên địa bàn theo lĩnh vực năm 2025</t>
  </si>
  <si>
    <t>QUYẾT TOÁN NGUỒN THU NGÂN SÁCH NHÀ NƯỚC TRÊN ĐỊA BÀN THEO LĨNH VỰC NĂM 2025</t>
  </si>
  <si>
    <t>Biểu mẫu số 51</t>
  </si>
  <si>
    <t>Quyết toán chi ngân sách địa phương theo lĩnh vực năm 2025</t>
  </si>
  <si>
    <t>Trong đó: Chia theo nguồn vốn</t>
  </si>
  <si>
    <t>Chi Khoa học và Công nghệ</t>
  </si>
  <si>
    <t>Chi Giáo dục - Đào tạo và dạy nghề</t>
  </si>
  <si>
    <t>Chi đầu tư từ nguồn thu xổ số kiến thiết</t>
  </si>
  <si>
    <t>CTMT phát triển lâm nghiệp bền vững (kinh phí khoán bảo vệ, khoanh nuôi tái sinh rừng tự nhiên)</t>
  </si>
  <si>
    <t>Chi chương trình mục tiêu, nhiệm vụ</t>
  </si>
  <si>
    <t>KP CCTL năm 2024 chuyển sang</t>
  </si>
  <si>
    <t xml:space="preserve">Quyết định số 1015/QĐ-UBND ngày 30/8/2025 </t>
  </si>
  <si>
    <t>Nguồn kinh phí cải cách tiền lương dư tại huyện chuyển về xã</t>
  </si>
  <si>
    <t>Thu bổ sung nguồn thực hiện cải cách tiền lương</t>
  </si>
  <si>
    <t>50% Kinh phí tiết kiệm từ thực hiện sắp xếp, tổ chức bộ máy xây dựng chính quyền địa phương 02 cấp (NĐ 178/NĐ-CP; NĐ 67/NĐ-CP)</t>
  </si>
  <si>
    <t>Phân bổ kinh phí cho các đơn vị thực hiện</t>
  </si>
  <si>
    <t>Điều chỉnh dự toán chi thường xuyên ngân sách của một số đơn vị dự toán năm 2025</t>
  </si>
  <si>
    <t>Phân bổ kinh phí thực hiện chính sách</t>
  </si>
  <si>
    <t>Người lập biểu</t>
  </si>
  <si>
    <t>THỦ TRƯỞNG ĐƠN VỊ</t>
  </si>
  <si>
    <t>Nguồn kinh phí cải cách tiền lương dư tại xã 02 cũ</t>
  </si>
  <si>
    <t>Văn bản của UBND Tỉnh, UBND xã/ngày, tháng</t>
  </si>
  <si>
    <t>Kinh phí được giao tự chủ nguồn ngân sách huyện trước sáp nhập chuyển về xã</t>
  </si>
  <si>
    <t>Một phần nguồn tiết kiệm chi năm 2025</t>
  </si>
  <si>
    <t>Báo cáo số 540/BC-UBND ngày 31/12/2025 của UBND xã Cường Lợi; Quyết định số 652/QĐ-UBND ngày 31/12/2025 của UBND xã Cường Lợi</t>
  </si>
  <si>
    <t>Quyết định số 112/QĐ-UBND ngày 26/02/2026 của UBND xã Cường Lợi</t>
  </si>
  <si>
    <t>TỔNG NGUỒN KP CCTL CÓ TRONG NĂM 2025</t>
  </si>
  <si>
    <t>+ Chính sách miễn, giảm học phí theo quy định tại Nghị định số 238/2025/NĐ-CP (đã trừ phần kinh phí trích 40% thực hiện cải cách tiền lương từ dự toán cấp bù miễn, giảm học phí Kỳ II năm học 2024-2025, Kỳ I năm học 2025-2026 để lại tại xã) và miễn, giảm học phí cho sinh viên trường ngoài công lập</t>
  </si>
  <si>
    <t xml:space="preserve">+ Trích 40% thực hiện cải cách tiền lương từ dự toán cấp bù miễn, giảm học phí Kỳ II năm học 2024-2025, Kỳ I năm học 2025-2026 để lại tại xã </t>
  </si>
  <si>
    <t>ĐÃ PHÂN BỔ SỬ DỤNG VÀ QUYẾT TOÁN</t>
  </si>
  <si>
    <t>Quyết định số 320/QĐ-UBND ngày 26/9/2025 của UBND xã Cường Lợi</t>
  </si>
  <si>
    <t>Quyết định số 462/QĐ-UBND ngày 13/11/2025 của UBND xã Cường Lợi</t>
  </si>
  <si>
    <t>KP CCTL còn lại chuyển nguồn sang năm  2026</t>
  </si>
  <si>
    <t>Quyết định số 603/QĐ-UBND ngày 29/12/2025 của UBND xã Cường Lợi</t>
  </si>
  <si>
    <t>….., Ngày …..tháng …. năm …</t>
  </si>
  <si>
    <t>TỔNG HỢP THU DỊCH VỤ CỦA ĐƠN VỊ SỰ NGHIỆP CÔNG NĂM 2025</t>
  </si>
  <si>
    <t>Thực hiện năm 2025</t>
  </si>
  <si>
    <t>Cường Lợi, ngày       tháng 3 năm 2026</t>
  </si>
  <si>
    <t>Biểu mẫu số 64</t>
  </si>
  <si>
    <t>Biểu mẫu số 63</t>
  </si>
  <si>
    <t>TỔNG HỢP CÁC QUỸ TÀI CHÍNH NHÀ NƯỚC NGOÀI NGÂN SÁCH DO ĐỊA PHƯƠNG QUẢN LÝ NĂM 2025</t>
  </si>
  <si>
    <t>Kế hoạch năm 2026</t>
  </si>
  <si>
    <t>Dư nguồn đến ngày 31/12/2025</t>
  </si>
  <si>
    <r>
      <t xml:space="preserve">CTMTQG (NS tỉnh đối ứng) </t>
    </r>
    <r>
      <rPr>
        <i/>
        <sz val="9"/>
        <rFont val="Times New Roman"/>
        <family val="1"/>
      </rPr>
      <t>(năm 2024 kéo dài sang năm 2025)</t>
    </r>
  </si>
  <si>
    <t>NS tỉnh hỗ trợ quy hoạch điểm dân cư, hỗ trợ CTMTQG XD NTM</t>
  </si>
  <si>
    <r>
      <t xml:space="preserve">CTMTQG </t>
    </r>
    <r>
      <rPr>
        <i/>
        <sz val="9"/>
        <rFont val="Times New Roman"/>
        <family val="1"/>
      </rPr>
      <t>(năm 2024 kéo dài sang năm 2025)</t>
    </r>
  </si>
  <si>
    <t>Quyết toán 2025</t>
  </si>
  <si>
    <r>
      <t xml:space="preserve">CT MTQG (NS tỉnh đối ứng) </t>
    </r>
    <r>
      <rPr>
        <i/>
        <sz val="9"/>
        <rFont val="Times New Roman"/>
        <family val="1"/>
      </rPr>
      <t>(năm 2024 kéo dài sang năm 2025)</t>
    </r>
  </si>
  <si>
    <t>Dự toán năm 2025</t>
  </si>
  <si>
    <t>Lũy kế vốn đã bố trí đến hết năm 2024</t>
  </si>
  <si>
    <t>Giá trị khối lượng thực hiện từ khởi công đến hết năm 2024</t>
  </si>
  <si>
    <t>Cải tạo, sửa chữa Trường Mầm non Văn Vũ</t>
  </si>
  <si>
    <t>Cải tạo, sửa chữa Trường PTDTBT Tiểu học Văn Vũ</t>
  </si>
  <si>
    <t>Cải tạo, sửa chữa Trường TH&amp;THCS Cường Lợi</t>
  </si>
  <si>
    <t>Cải tạo, sửa chữa Trường PTDTBT THCS Văn Vũ</t>
  </si>
  <si>
    <t>1317/QĐ-UBND ngày 09/5/2025</t>
  </si>
  <si>
    <t>1315/QĐ-UBND ngày 09/5/2025</t>
  </si>
  <si>
    <t>1314/QĐ-UBND ngày 09/5/2025</t>
  </si>
  <si>
    <t>1313/QĐ-UBND ngày 09/5/2025</t>
  </si>
  <si>
    <t>Đổ bê tông đường Bản Đâng thôn Bản Pìn, xã Văn Vũ, huyện Na Rì</t>
  </si>
  <si>
    <t>125/QĐ-UBND ngày 25/4/2025</t>
  </si>
  <si>
    <t>Cải tạo, nâng cấp đường Lương Hạ - Văn Học, huyện Na Rì, tỉnh Bắc Kạn</t>
  </si>
  <si>
    <t>4258/QĐ-UBND ngày 21/9/2016</t>
  </si>
  <si>
    <t>Vốn khác</t>
  </si>
  <si>
    <t>2706/QĐ-UBND ngày 09/9/2024</t>
  </si>
  <si>
    <t>Đường ngõ xóm thôn Nà Chè, xã Cường Lợi, huyện Na Rì</t>
  </si>
  <si>
    <t>Đường ngõ xóm Nà Nưa, thôn Nà Nưa, xã Cường Lợi, huyện Na Rì</t>
  </si>
  <si>
    <t>Đường trục thôn Pò Nim đến Thẳm En, thôn Pò Nim (đoạn 2), xã Cường Lợi, huyện Na Rì</t>
  </si>
  <si>
    <t>Đổ bê tông đường vào khu sản xuất Slọ Chè, thôn Nà Chè, xã Cường Lợi</t>
  </si>
  <si>
    <t>Đường bê tông Hang Kéo, thôn Nà Tâng, xã Cường Lợi</t>
  </si>
  <si>
    <t xml:space="preserve">301/QĐ-UBND ngày 04/12/2024  </t>
  </si>
  <si>
    <t xml:space="preserve">300/QĐ-UBND ngày 04/12/2024  </t>
  </si>
  <si>
    <t>173/QĐ-UBND ngày 22/5/2025</t>
  </si>
  <si>
    <t xml:space="preserve">299/QĐ-UBND ngày 04/12/2024  </t>
  </si>
  <si>
    <t>382/QĐ-UBND ngày 27/10/2025</t>
  </si>
  <si>
    <t>Nhà văn hoá thôn thôm Khon, xã Văn vũ, huyện Na Rì, tỉnh Bắc Kạn</t>
  </si>
  <si>
    <t>62/QĐ-UBND ngày 19/3/2025</t>
  </si>
  <si>
    <t>Sửa chữa nâng cấp đập, kênh mương Nà Sang, xã Cường Lợi</t>
  </si>
  <si>
    <t>618/QĐ-UBND ngày 13/3/2025</t>
  </si>
  <si>
    <t>Đường vào khu sản xuất Slọ Dắm (đoạn cuối tuyến) thôn Nà Nưa, xã Cường Lợi</t>
  </si>
  <si>
    <t>195/QĐ-UBND ngày 12/6/2025</t>
  </si>
  <si>
    <t>Đường vào khu sản xuất Pác Phai, thôn Nà Sang, xã Cường Lợi</t>
  </si>
  <si>
    <t>304/QĐ-UBND ngày 05/12/2024</t>
  </si>
  <si>
    <t>Đường bê tông đường vào khu sản xuất Slọ Dắm, thôn Nặm Dắm (đoạn 2), xã Cường Lợi</t>
  </si>
  <si>
    <t>Đường bê tông từ cầu Nà Chúa vào khu sản xuất, thôn Nà Tát, xã Cường Lợi</t>
  </si>
  <si>
    <t>Đường vào khu sản xuất Rọ Nghiều - Cạm Lậc, thôn Nà Tát, xã Cường Lợi, huyện Na Rì</t>
  </si>
  <si>
    <t>Đường bê tông Pò Lải - Xum Chộc, xã Văn Vũ</t>
  </si>
  <si>
    <t>Đường bê tông thôn Khuổi Phầy, xã Văn Vũ, huyện Na Rì, tỉnh Bắc Kạn</t>
  </si>
  <si>
    <t>Đường bê tông Pác Ót, Thôn Thôm Eng, xã Văn Vũ, huyện Na Rì</t>
  </si>
  <si>
    <t>Đường bê tông vào khu sản xuất Slọ Dắm (đoạn 2), thôn Nà Nưa, xã Cường Lợi</t>
  </si>
  <si>
    <t>Đường bê tông Khuổi Tàn (Giai đoạn 2)</t>
  </si>
  <si>
    <t>Đường bê tông Khuổi Mụ giai đoạn 2, thôn Thôm Khinh, xã Văn Vũ, huyện Na Rì, tỉnh Bắc Kạn.</t>
  </si>
  <si>
    <t xml:space="preserve">305/QĐ-UBND ngày 05/12/2024 </t>
  </si>
  <si>
    <t>368/QĐ-UBND ngày 05/12/2024</t>
  </si>
  <si>
    <t xml:space="preserve">370/QĐ-UBND ngày 05/12/2024 </t>
  </si>
  <si>
    <t>372/QĐ-UBND ngày 05/12/2024 và QĐ38/QĐ-UBND ngày 22/01/2025</t>
  </si>
  <si>
    <t xml:space="preserve">123/QĐ-UBND ngày 21/3/2025 </t>
  </si>
  <si>
    <t>142/QĐ-UBND ngày 21/05/2025</t>
  </si>
  <si>
    <t>Số 63/QĐ-UBND ngày 19/3/2025</t>
  </si>
  <si>
    <t>QUYẾT TOÁN VỐN ĐẦU TƯ CÁC CHƯƠNG TRÌNH, DỰ ÁN SỬ DỤNG VỐN NGÂN SÁCH NHÀ NƯỚC NĂM 2025</t>
  </si>
  <si>
    <t>QUYẾT TOÁN CHI CHƯƠNG TRÌNH MỤC TIÊU QUỐC GIA NĂM 2025</t>
  </si>
  <si>
    <t>Biểu mẫu số 61</t>
  </si>
  <si>
    <t>Cường Lợi, ngày      tháng 3 năm 2026</t>
  </si>
  <si>
    <t>Văn phòng HĐND và UBND</t>
  </si>
  <si>
    <t>Phòng Kinh tế</t>
  </si>
  <si>
    <t>Phòng Văn hóa - Xã hội</t>
  </si>
  <si>
    <t>Ủy ban MTTQVN xã</t>
  </si>
  <si>
    <t>Dư tại xã</t>
  </si>
  <si>
    <t>Biểu mẫu số 60</t>
  </si>
  <si>
    <t>QUYẾT TOÁN THU NGÂN SÁCH XÃ NĂM 2025</t>
  </si>
  <si>
    <t>QUYẾT TOÁN CHI NGÂN SÁCH XÃ NĂM 2025</t>
  </si>
  <si>
    <t>Biểu mẫu số 59</t>
  </si>
  <si>
    <r>
      <t xml:space="preserve">Ghi chú: </t>
    </r>
    <r>
      <rPr>
        <i/>
        <sz val="10"/>
        <color indexed="8"/>
        <rFont val="Times New Roman"/>
        <family val="1"/>
      </rPr>
      <t>(1) Bổ sung từ ngân sách tỉnh chi tiết đến từng huyện; bổ sung từ ngân sách huyện chi tiết đến từng xã.</t>
    </r>
  </si>
  <si>
    <t>QUYẾT TOÁN CHI ĐẦU TƯ PHÁT TRIỂN CỦA NGÂN SÁCH CẤP XÃ CHO TỪNG CƠ QUAN, TỔ CHỨC THEO LĨNH VỰC NĂM 2025</t>
  </si>
  <si>
    <t>Biểu mẫu số 55</t>
  </si>
  <si>
    <t>Phòng Kinh tế xã</t>
  </si>
  <si>
    <t>Phòng Văn hóa - Xã hội xã</t>
  </si>
  <si>
    <t>Nguồn ngân sách tỉnh hỗ trợ CTMTQG xây dựng nông thôn mới</t>
  </si>
  <si>
    <t>Nguồn tiết kiệm chi ngân sách xã năm 2024 chuyển sang 2025</t>
  </si>
  <si>
    <t>Nguồn tăng thu, tiết kiệm chi năm 2024 ngân sách huyện trước sắp xếp, sáp nhập chuyển về xã</t>
  </si>
  <si>
    <t>Nguồn ngân sách tỉnh hỗ trợ quy hoạch điểm dân cư nông thôn</t>
  </si>
  <si>
    <t>Vốn xây dựng cơ bản tập trung (nguồn cân đối ngân sách huyện chuyển về sau khi thực hiện chính quyền địa phương 02 cấp)</t>
  </si>
  <si>
    <t>QUYẾT TOÁN CHI NGÂN SÁCH CẤP XÃ CHO TỪNG CƠ QUAN, TỔ CHỨC THEO LĨNH VỰC NĂM 2025</t>
  </si>
  <si>
    <t>Biểu mẫu số 54</t>
  </si>
  <si>
    <t>CÁC CƠ QUAN, TỔ CHỨC</t>
  </si>
  <si>
    <t>CHI TRẢ NỢ LÃI CÁC KHOẢN DO CHÍNH QUYỀN ĐỊA PHƯƠNG VAY (2)</t>
  </si>
  <si>
    <t>CHI BỔ SUNG QUỸ DỰ TRỮ TÀI CHÍNH (2)</t>
  </si>
  <si>
    <t>CHI NỘP NGÂN SÁCH CẤP TRÊN</t>
  </si>
  <si>
    <t>Văn phòng HĐND và UBND xã</t>
  </si>
  <si>
    <t>Biểu mẫu số 56</t>
  </si>
  <si>
    <t>QUYẾT TOÁN CHI THƯỜNG XUYÊN CỦA NGÂN SÁCH CẤP XÃ CHO TỪNG CƠ QUAN, TỔ CHỨC THEO LĨNH VỰC NĂM 2025</t>
  </si>
  <si>
    <t>Phòng Văn hóa - XH</t>
  </si>
  <si>
    <t>Trung tâm phục vụ Hành chính công</t>
  </si>
  <si>
    <t>Văn phòng Đảng ủy</t>
  </si>
  <si>
    <t>Ủy ban Mặt trận Tổ quốc VN xã</t>
  </si>
  <si>
    <t xml:space="preserve">Trung tâm học tập cộng đồng </t>
  </si>
  <si>
    <t>Các đơn vị khác (cấp lệnh chi)</t>
  </si>
  <si>
    <t>Trường Mầm non Cường Lợi</t>
  </si>
  <si>
    <t>Trường TH&amp;THCS Cường Lợi</t>
  </si>
  <si>
    <t>Trường PTDTBT TH Văn Vũ</t>
  </si>
  <si>
    <t>Trường PTDTBT THCS Văn Vũ</t>
  </si>
  <si>
    <t>Trường Mầm non Văn Vũ</t>
  </si>
  <si>
    <t>Phòng giao dịch số 8-KBNN KV II</t>
  </si>
  <si>
    <t>Chi CT MTQG</t>
  </si>
  <si>
    <t>Chi thường xuyên (Không kể CT MTQG)</t>
  </si>
  <si>
    <t>DỰ PHÒNG NGÂN SÁCH</t>
  </si>
  <si>
    <t>TỔNG HỢP QUYẾT TOÁN CHI THƯỜNG XUYÊN NGÂN SÁCH CẤP XÃ CỦA TỪNG CƠ QUAN, TỔ CHỨC THEO NGUỒN VỐN NĂM 2025</t>
  </si>
  <si>
    <t>Biểu mẫu số 57</t>
  </si>
  <si>
    <r>
      <t>Nguồn năm trước chuyển sang</t>
    </r>
    <r>
      <rPr>
        <sz val="12"/>
        <color theme="1"/>
        <rFont val="Times New Roman"/>
        <family val="1"/>
      </rPr>
      <t xml:space="preserve"> (nếu có)</t>
    </r>
  </si>
  <si>
    <r>
      <t>Bổ sung trong năm</t>
    </r>
    <r>
      <rPr>
        <sz val="12"/>
        <color theme="1"/>
        <rFont val="Times New Roman"/>
        <family val="1"/>
      </rPr>
      <t xml:space="preserve"> (nếu có)</t>
    </r>
  </si>
  <si>
    <r>
      <t xml:space="preserve">Giảm trừ trong năm </t>
    </r>
    <r>
      <rPr>
        <sz val="12"/>
        <color theme="1"/>
        <rFont val="Times New Roman"/>
        <family val="1"/>
      </rPr>
      <t>(nếu có)</t>
    </r>
  </si>
  <si>
    <t>1=2+3+4-5</t>
  </si>
  <si>
    <t>Biểu mẫu số 58</t>
  </si>
  <si>
    <t>QUYẾT TOÁN CHI NGÂN SÁCH ĐỊA PHƯƠNG, CHI NGÂN SÁCH CẤP TỈNH (XÃ) THEO CƠ CẤU CHI NĂM 2025</t>
  </si>
  <si>
    <t>QUYẾT TOÁN CHI CHƯƠNG TRÌNH MỤC TIÊU QUỐC GIA, CHƯƠNG TRÌNH MỤC TIÊU VÀ CHƯƠNG TRÌNH, NHIỆM VỤ KHÁC NĂM 2025</t>
  </si>
  <si>
    <t>Điều chỉnh thực hiện cơ chế đặc thù</t>
  </si>
  <si>
    <t>Chi nâng cao chất lượng và hiệu quả công tác kiểm tra, giám sát, đánh giá kết quả thực hiện Chương trình; xây dựng hệ thống giám sát, đánh giá; nhân rộng mô hình giám sát an ninh hiện đại và giám sát của cộng đồng</t>
  </si>
  <si>
    <t xml:space="preserve">Đẩy mạnh, đa dạng hình thức thông tin, truyền thông; triển khai phong trào “Cả nước thi đua xây dựng nông thôn mới” </t>
  </si>
  <si>
    <t>Nội dung số 1: Hỗ trợ đất ở</t>
  </si>
  <si>
    <t>Nội dung số 2: Hỗ trợ nhà ở</t>
  </si>
  <si>
    <t>Nội dung số 03: Hỗ trợ chuyển đổi nghề</t>
  </si>
  <si>
    <t>Nội dung số 04: Hỗ trợ nước sinh hoạt phân tán</t>
  </si>
  <si>
    <t>2.2.1</t>
  </si>
  <si>
    <t>Nguồn tiết kiệm chi xã năm 2024 chuyển 2025</t>
  </si>
  <si>
    <t xml:space="preserve">Hỗ trợ tiền sử dụng sản phẩm, dịch vụ công ích thủy lợi năm 2025 </t>
  </si>
  <si>
    <t xml:space="preserve">Kinh phí bảo trợ xã hội NĐ 20/2021/NĐ-CP; Chính sách hỗ trợ đối tượng bảo trợ xã hội theo quy định tại Nghị quyết số 20/2022/NQ-HĐND </t>
  </si>
  <si>
    <t>Chính sách hỗ trợ tiền điện hộ nghèo, hộ chính sách</t>
  </si>
  <si>
    <t>Kinh phí mua BHYT cho đối tượng BTXH, Kinh phí mua BHYT cho cựu chiến binh, thanh niên xung phong, đối tượng tham gia kháng chiến Lào, Campuchia</t>
  </si>
  <si>
    <t xml:space="preserve">Hỗ trợ tiền ăn, tiền ở và mua tủ thuốc dùng chung theo Nghị định số 116/2016/NĐ-CP; </t>
  </si>
  <si>
    <t>Chính sách phát triển mầm non (kinh phí hỗ trợ tiền ăn trưa trẻ em 3-5 tuổi, hỗ trợ giáo viên dạy lớp ghép, hỗ trợ kinh phí nấu ăn)</t>
  </si>
  <si>
    <t>Học bổng, chi phí học tập cho học sinh khuyết tật theo TTLT số 42/2013/TTLT-BGDĐT-BLĐTB&amp;XH</t>
  </si>
  <si>
    <t>Kinh phí theo Nghị quyết số 54/2016/NQ-HĐND tỉnh Bắc Kạn</t>
  </si>
  <si>
    <t>Kinh phí thực hiện chính sách, chế độ theo Nghị định số 178/2024/NĐ-CP ngày 31/12/2024 và Nghị định số 67/2025/NĐ-CP ngày 15/3/2025 của Chính phủ (đợt 3)</t>
  </si>
  <si>
    <t>Về việc phân bổ kinh phí hỗ trợ từ nguồn dự phòng ngân sách Trung ương cho một số đơn vị, địa phương thực hiện nhiệm vụ</t>
  </si>
  <si>
    <t>Kinh phí thực hiện tặng quà cho nhân dân nhân dịp kỷ niệm 80 năm Cách mạng tháng Tám và Quốc khánh 2/9</t>
  </si>
  <si>
    <t xml:space="preserve">Kinh phí thực hiện chính sách, chế độ theo Nghị định số 178/2024/NĐ-CP ngày 31/12/2024 và Nghị định số 67/2025/NĐ-CP ngày 15/3/2025 của Chính phủ </t>
  </si>
  <si>
    <t>Kinh phí thực hiện  tổ chức các hoạt động Tết Trung thu</t>
  </si>
  <si>
    <t>Kinh phí thực hiện  sắp xếp, tinh gọn bộ máy, sắp xếp đơn vị hành chính</t>
  </si>
  <si>
    <t>Về việc trích ngân sách tỉnh năm 2025 phân bổ kinh phí cho các đơn vị, địa phương để khắc phục hậu quả do mưa lũ gây ra (Đợt 2)</t>
  </si>
  <si>
    <t>Kinh phí thực hiện  nhiệm vụ dã được phê duyệt nhiệm vụ đã được phê duyệt trước khi sắp sếp đơn vị hành chính</t>
  </si>
  <si>
    <t>Kinh phí thực hiện  chính sách, chế độ Nghị định số 154/2025/NĐ-CP ngày 15/6/2025 của Chính phủ (Đợt 3);</t>
  </si>
  <si>
    <t>Kinh phí thực hiện  chính sách, chế độ theo Nghị quyết số 07/2025/NQ-CP ngày 17/9/2025 của Chính phủ và Nghị quyết số 25/2025/NQ-HĐND ngày 28/10/2025 của HĐND tỉnh Thái Nguyên</t>
  </si>
  <si>
    <t>Kinh phí thực hiện  xóa nhà tạm, nhà dột nát cho các hộ phát sinh trên địa bàn các xã, phường khu vực phía Bắc tỉnh Thái Nguyên năm 2025</t>
  </si>
  <si>
    <t>Kinh phí thực hiện tặng quà của Đảng, Nhà nước nhân dịp chào mừng Đại hội đại biểu toàn quốc lần thứ XIV của Đảng và Tết Nguyên đán Bính Ngọ năm 2026 theo Nghị quyết số 418/NQ-CP ngày 28/12/2025 của Chính phủ</t>
  </si>
  <si>
    <t>Kinh phí thực hiện  nhiệm vụ quy hoạch, chỉnh lý, lưu trữ, số hóa tài liệu, mua sắm trang thiết bị, phương tiện làm việc</t>
  </si>
  <si>
    <t>Kinh phí thực hiện  đảm bảo cơ sở vật chất phục vụ sắp xếp, tinh gọn bộ máy, sắp xếp đơn vị hành chính (đợt 2)</t>
  </si>
  <si>
    <t>Kinh phí thực hiện các chế độ, chính sách an sinh xã hội tăng thêm năm 2025 do Trung ương đảm bảo</t>
  </si>
  <si>
    <t>Xác định nguồn tăng thu tiết kiệm chi 2025 để chuyển nguồn</t>
  </si>
  <si>
    <t xml:space="preserve"> Các chương trình mục tiêu quốc gia</t>
  </si>
  <si>
    <t>Kinh phí thực hiện Chương trình phát triển lâm nghiệp bền vững (NSTW)</t>
  </si>
  <si>
    <t>Nguồn NS tỉnh hỗ trợ lập quy hoạch điểm dân cư nông thôn</t>
  </si>
  <si>
    <t>Thu ngân sách xã hưởng theo phân cấp, tăng thu ngân sách…</t>
  </si>
  <si>
    <t>Kinh phí thực hiện các nhiệm vụ đã phê duyệt trước khi sắp xếp đơn vị hành chính (KP bảo vệ rừng tự nhiên phòng hộ, sản xuất năm 2025)</t>
  </si>
  <si>
    <t>Kinh phí thực hiện chính sách, chế độ theo Nghị định số 154/2025/NĐ-CP ngày 15/6/2025 của Chính phủ (đợt 2)</t>
  </si>
  <si>
    <t xml:space="preserve">  Kinh phí  thực hiện chính sách, chế độ theo Nghị định số 178/2024/NĐ-CP ngày 31/12/2024 và Nghị định số 67/2025/NĐ-CP ngày 15/3/2025 của Chính phủ </t>
  </si>
  <si>
    <t>Kinh phí thực hiện chính sách, chế độ theo Nghị định số 178/2024/NĐ-CP ngày 31/12/2024 và Nghị định số 67/2025/NĐ-CP ngày 15/3/2025 của Chính phủ (đợt 5)</t>
  </si>
  <si>
    <t xml:space="preserve">Kinh phí thực hiện xây dựng xã hội học tập theo Nghị quyết số 19/2022/NQ-HĐND của HĐND tỉnh </t>
  </si>
  <si>
    <t>Kinh phí thực hiện nhiệm vụ nấu ăn đối với cơ sở giáo dục mầm non công lập theo Nghị quyết số 16/2025/NQ-HĐND ngày 29/8/2025 của HĐND tỉnh Thái Nguyên</t>
  </si>
  <si>
    <t>Kinh phí tiền lương và các khoản phụ cấp của CBCC chuyển đến sau 1/7/2025 chưa được bố trí</t>
  </si>
  <si>
    <t>Kinh phí thực hiện giáo viên dạy học sinh khuyết tật theo NĐ 28/2012/NĐ-CP</t>
  </si>
  <si>
    <t>Nguồn XDCB tập trung dư chưa phân bổ</t>
  </si>
  <si>
    <t>Nguồn XDCB tập trung phân bổ thực hiện dự án</t>
  </si>
  <si>
    <t>+ Trích thực hiện cải cách tiền lương từ 50% Kinh phí tiết kiệm từ thực hiện sắp xếp, tổ chức bộ máy xây dựng chính quyền địa phương 02 cấp (NĐ 178/NĐ-CP; NĐ 67/NĐ-CP) (phần còn lại sau khi đã phân bổ thực hiện chính sách theo nghị định số 238/2025/NĐ-CP)</t>
  </si>
  <si>
    <t xml:space="preserve">40% trích cải cách tiền lương từ cấp bù học phí kỳ 2 năm học 2024-2025 và kỳ 1 năm học 2025-2026 theo NĐ 81/2021/NĐ-CP và NĐ 238/2025/NĐ-CP </t>
  </si>
  <si>
    <t>Nguồn tiết kiệm chi NS huyện trước sắp xếp chuyển về xã sau sắp xếp (chuyển 189.090.702 đồng theo dõi TKC năm 2025)</t>
  </si>
  <si>
    <t>Nguồn tiết kiệm chi NS huyện trước sắp xếp chuyển về xã sau sắp xếp kế hoạch vốn dư sau khi thực hiện các dự án (189.090.702 đồng theo dõi TKC năm 2025)</t>
  </si>
  <si>
    <t>Nguồn cải cách tiền lương (bao gồm 143,0812 triệu đồng từ 40% trích cải cách tiền lương từ cấp bù học phí kỳ 2 năm học 2024-2025 và kỳ 1 năm học 2025-2026 theo NĐ 81/2021/NĐ-CP và NĐ 238/2025/NĐ-CP giữ lại tại xã)</t>
  </si>
  <si>
    <t>Nguồn dự phòng (tổng nguồn tỉnh giao 1.150.000.000 đồng chuyển 43.391.180 đ nguồn TKC)</t>
  </si>
  <si>
    <t>Nguồn dự phòng không phân bổ hết chuyển 43.391.180 đ nguồn TKC</t>
  </si>
  <si>
    <t>30% Tăng thu ngân sách xã (Nguồn kết dư (năm 2024 chuyển sang 2025) 155,1765 triệu đồng; thu khác xã hưởng (thu trong năm 2025) 1,5 triệu đồng)</t>
  </si>
  <si>
    <t>70% Tăng thu ngân sách xã (Nguồn kết dư (năm 2024 chuyển sang 2025) 155,1765 triệu đồng; thu khác xã hưởng (thu trong năm 2025) 1,5 triệu đồng)</t>
  </si>
  <si>
    <t>Nguồn dự toán thường xuyên năm 2025 còn lại không thực hiện hết</t>
  </si>
  <si>
    <t>Nộp trả ngân sách cấp trên</t>
  </si>
  <si>
    <t>Hoàn trả ngân sách cấp tỉnh (từ nguồn chuyển nguồn, kết dư của 02 xã cũ)</t>
  </si>
  <si>
    <t>Vốn đầu tư (Nội dung thành phần số 2: Phát triển hạ tầng kinh tế - xã hội, cơ bản đồng bộ, hiện đại, đảm bảo kết nối nông thôn - đô thị và kết nối các vùng miền )</t>
  </si>
  <si>
    <t>CÁC CHƯƠNG TRÌNH MỤC TIÊU KHÁC</t>
  </si>
  <si>
    <t>Nội dung thành phần số 09: Nâng cao chất lượng, phát huy vai trò của mặt trận tổ quốc Việt Nam và các tổ chức chính trị xã hội trong xây dựng nông thôn mới</t>
  </si>
  <si>
    <t>Vốn đầu tư (Nguồn NS tỉnh hỗ trợ CT MTQG XD NTM)</t>
  </si>
  <si>
    <t>Vốn đầu tư  (Nội dung thành phần số 2: Phát triển hạ tầng kinh tế - xã hội, cơ bản đồng bộ, hiện đại, đảm bảo kết nối nông thôn - đô thị và kết nối các vùng miền)</t>
  </si>
  <si>
    <t>Chi SNGD CTMTQG</t>
  </si>
  <si>
    <t>QUYẾT TOÁN CHI NGÂN SÁCH CẤP XÃ THEO LĨNH VỰC NĂM 2025</t>
  </si>
  <si>
    <t>Biểu mẫu số 52</t>
  </si>
  <si>
    <t>CHI NGÂN SÁCH CẤP XÃ THEO LĨNH VỰC</t>
  </si>
  <si>
    <t>Chi trả nợ lãi các khoản do chính quyền địa phương vay (2)</t>
  </si>
  <si>
    <t>Chi bổ sung quỹ dự trữ tài chính (2)</t>
  </si>
  <si>
    <t>QUYẾT TOÁN CHI NGÂN SÁCH ĐỊA PHƯƠNG THEO LĨNH VỰC NĂM 2025</t>
  </si>
  <si>
    <t>QUYẾT TOÁN CHI BỔ SUNG TỪ NGÂN SÁCH CẤP TỈNH CHO NGÂN SÁCH XÃ NĂM 2025</t>
  </si>
  <si>
    <t>Dự án khởi công mới giai đoạn 2021-2025</t>
  </si>
  <si>
    <t>Năng lực thiết kế</t>
  </si>
  <si>
    <t>Thời gian khởi công hoàn thành</t>
  </si>
  <si>
    <t>2023-2025</t>
  </si>
  <si>
    <t>306/QĐ-UBND ngày 05/12/2024</t>
  </si>
  <si>
    <t>307/QĐ-UBND ngày 05/12/2024</t>
  </si>
  <si>
    <t>Dự án chuyển tiếp sang giai đoạn 2021-2025</t>
  </si>
  <si>
    <t>2016-2018</t>
  </si>
  <si>
    <t>Quyết toán chi ngân sách cấp xã theo lĩnh vực năm 2025</t>
  </si>
  <si>
    <t>Quyết toán chi ngân sách địa phương, chi ngân sách cấp tỉnh và xã theo cơ cấu chi năm 2025</t>
  </si>
  <si>
    <t>Quyết toán chi ngân sách cấp xã cho từng cơ quan, tổ chức theo lĩnh vực năm 2025</t>
  </si>
  <si>
    <t>Quyết toán thu ngân sách xã năm 2025</t>
  </si>
  <si>
    <t>Quyết toán chi chương trình mục tiêu quốc gia năm 2025</t>
  </si>
  <si>
    <t>Quyết toán vốn đầu tư các chương trình, dự án sử dụng vốn ngân sách năm 2025</t>
  </si>
  <si>
    <t>Tổng hợp các quỹ tài chính nhà nước ngoài ngân sách do địa phương quản lý năm 2025</t>
  </si>
  <si>
    <t>Quyết toán chi chương trình mục tiêu quốc gia, chương trình mục tiêu, nhiệm vụ khác năm 2025</t>
  </si>
  <si>
    <t>Thuyết minh thực hiện kinh phí cải cách tiền lương năm 2025</t>
  </si>
  <si>
    <t>Biểu mẫu số 62</t>
  </si>
  <si>
    <t>Quyết toán chi đầu tư phát triển của ngân sách cấp xã cho từng cơ quan, tổ chức theo lĩnh vực năm 2025</t>
  </si>
  <si>
    <t>Quyết toán chi thường xuyên của ngân sách cấp xã cho từng cơ quan, tổ chức theo lĩnh vực năm 2025</t>
  </si>
  <si>
    <t>Quyết toán chi thường xuyên của ngân sách cấp xã cho từng cơ quan, tổ chức theo nguồn vốn năm 2025</t>
  </si>
  <si>
    <t>Quyết toán chi ngân sách xã năm 2025</t>
  </si>
  <si>
    <t>Quyết toán chi bổ sung từ ngân sách cấp tỉnh cho ngân sách xã năm 2025</t>
  </si>
  <si>
    <t>Tổng hợp thu dịch vụ của đơn vị sự nghiệp công năm 2025 (không bao gồm ngân sách nhà nước)</t>
  </si>
  <si>
    <t>THUYẾT MINH THỰC HIỆN KINH PHÍ CẢI CÁCH TIỀN LƯƠNG NĂM 2025</t>
  </si>
  <si>
    <t xml:space="preserve">Trường Mầm non Cường Lợi </t>
  </si>
  <si>
    <t xml:space="preserve">Trường Mầm non Văn Vũ </t>
  </si>
  <si>
    <t xml:space="preserve">Trường PTDTBT THCS Văn Vũ </t>
  </si>
  <si>
    <t>Quỹ phòng, chống thiên tai</t>
  </si>
  <si>
    <t>Đơn vị tính: Nghìn đồng</t>
  </si>
  <si>
    <t>Vốn Đầu tư</t>
  </si>
  <si>
    <t>Vốn thường xuyên</t>
  </si>
  <si>
    <t>Ngân sách cấp xã</t>
  </si>
  <si>
    <t>Ngân sách tỉnh hỗ trợ lập quy hoạch chi tiết điểm dân cư nông thôn</t>
  </si>
  <si>
    <t>Hỗ trợ học sinh bán trú và Trường PT dân tộc bán trú Nghị định số 116/2016/NĐ-CP</t>
  </si>
  <si>
    <t>Chính sách hỗ trợ miễn giảm học phí, chi phí học tập cho học sinh, sinh viên thuộc hộ nghèo, hộ cận nghèo theo Nghị định số 81/2021/NĐ-CP</t>
  </si>
  <si>
    <t xml:space="preserve">Kinh phí bảo trợ xã hội theo Nghị định 20/2021/NĐ-CP  </t>
  </si>
  <si>
    <t>Cường Lợi, ngày … tháng 3 năm 2026</t>
  </si>
  <si>
    <t>TRƯỞNG PHÒNG KINH TẾ/KINH TẾ, HẠ TẦNG VÀ ĐÔ THỊ</t>
  </si>
  <si>
    <t>BÁO CÁO THUYẾT MINH KẾT DƯ NĂM 2025</t>
  </si>
  <si>
    <t>Năm 2024</t>
  </si>
  <si>
    <t>Năm 2025</t>
  </si>
  <si>
    <t>Năm báo cáo so với năm liền kề</t>
  </si>
  <si>
    <t>Giải trình</t>
  </si>
  <si>
    <t>Tỉnh</t>
  </si>
  <si>
    <t>Số tuyệt đối</t>
  </si>
  <si>
    <t>Số tương đối</t>
  </si>
  <si>
    <t>Chi đầu tư</t>
  </si>
  <si>
    <t>xã</t>
  </si>
  <si>
    <t>Chi đầu tư phát triển thực hiện chuyển sang năm sau theo quy định của Luật đầu tư công. Trường hợp đặc biệt, Thủ tướng Chính phủ quyết định về việc cho phép chuyển nguồn sang năm sau nữa, nhưng không quá thời hạn giải ngân của dự án nằm trong kế hoạch đầu tư công trung hạn (Không bao gồm Chi Chương trình Mục tiêu Quốc gia)</t>
  </si>
  <si>
    <t>Dư tạm ứng các dự án chưa có khối lượng hoàn ứng</t>
  </si>
  <si>
    <t>Các dự án được HĐND  tỉnh quyết định đối với vốn NSĐP cho phép kéo dài thời gian thực hiện theo quy định tại Điều 68 Luật Đầu tư công năm 2019</t>
  </si>
  <si>
    <t>Chi mua sắm trang thiết bị đã đầy đủ hồ sơ, hợp đồng mua sắm trang thiết bị ký bước ngày 31 tháng 12 năm thực hiện dự toán (Chi tiết theo từng nội dung)</t>
  </si>
  <si>
    <t>Nguồn thực hiện chính sách tiền lương, phụ cấp, trợ cấp và các khoản tính theo tiền lương cơ sở, bảo trợ xã hội (Chi tiết theo từng nội dung)</t>
  </si>
  <si>
    <t>Nguồn thực hiện chính sách tiền lương</t>
  </si>
  <si>
    <t>Kinh phí được giao tự chủ của các đơn vị sự nghiệp công lập và các cơ quan nhà nước; các khoản viện trợ không hoàn lại đã xác định cụ thể nhiệm vụ chi (Chi tiết theo từng nội dung)</t>
  </si>
  <si>
    <t>Cơ quan hành chính</t>
  </si>
  <si>
    <t>Bậc Tiểu học</t>
  </si>
  <si>
    <t>Bậc Trung học cơ sở</t>
  </si>
  <si>
    <t>Trường PTDTBT Tiểu học Văn Vũ</t>
  </si>
  <si>
    <t>Các khoản dự toán được cấp có thẩm quyền bổ sung sau ngày 30 tháng 9 năm thực hiện dự toán, không bao gồm các khoản bổ sung do các đơn vị dự toán cấp trên điều chỉnh dự toán đã giao của các đơn vị dự toán trực thuộc (Chi tiết theo từng nội dung)</t>
  </si>
  <si>
    <t xml:space="preserve">Phòng Văn hóa - Xã hội </t>
  </si>
  <si>
    <t>Quyết định số 2532/QĐ-UBND ngày 29/12/2025 của Ủy ban nhân dân tỉnh Thái Nguyên</t>
  </si>
  <si>
    <t>Kinh phí thực hiện thực hiện xóa nhà tạm, nhà dột nát</t>
  </si>
  <si>
    <t>Kinh phí từ nguồn ngân sách Trung ương cho các xã, phường phía Bắc tỉnh Thái Nguyên để thực hiện nhiệm vụ quy hoạch, chỉnh lý, lưu trữ, số hóa tài liệu, mua sắm trang thiết bị, phương tiện làm việc</t>
  </si>
  <si>
    <t>Quyết định số 2599/QĐ-UBND ngày 30/12/2025 của UBND tỉnh Thái Nguyên</t>
  </si>
  <si>
    <t>Kinh phí từ nguồn ngân sách Trung ương cho các địa phương để đảm bảo cơ sở vật chất phục vụ sắp xếp, tinh gọn bộ máy, sắp xếp đơn vị hành chính (đợt 2)</t>
  </si>
  <si>
    <t xml:space="preserve">Quyết định số 2601/QĐ-UBND ngày 30/12/2025 của UBND tỉnh Thái Nguyên </t>
  </si>
  <si>
    <t>Kinh phí nghiên cứu khoa học bố trí cho các đề tài, dự án nghiên cứu khoa học được cấp có thẩm quyền quyết định đang trong thời gian thực hiện (Chi tiết theo từng nội dung)</t>
  </si>
  <si>
    <t>Các khoản tăng thu, tiết kiệm chi được sử dụng theo quy định tại khoản 2 Điều 59 của Luật ngân sách nhà nước được cấp có thẩm quyền quyết định cho phép sử dụng vào năm sau (Chi tiết theo từng nội dung)</t>
  </si>
  <si>
    <t>Nguồn tăng thu tiết kiệm chi để đầu tư các công trình dự án</t>
  </si>
  <si>
    <t xml:space="preserve">Các chương trình mục tiêu quốc gia đang trong thời gian thực hiện theo Nghị quyết của Quốc hội </t>
  </si>
  <si>
    <t>Thực hiện chuyển nguồn theo quy định tại Điểm b, Khoản 7, Điều 1 Nghị quyết số 257/2025/QH15 ngày 11/12/2025</t>
  </si>
  <si>
    <t>8.1</t>
  </si>
  <si>
    <t>Chương trình mục tiêu quốc gia phát triển kinh tế - xã hội vùng đồng bào dân tộc thiểu số và miền núi</t>
  </si>
  <si>
    <t>Dự án 1- Giải quyết tình trạng thiếu đất ở, nhà ở, đất sản xuất, nước sinh hoạt (hỗ trợ nhà ở)</t>
  </si>
  <si>
    <t>Ngân sách Trung ương</t>
  </si>
  <si>
    <t>Dự án 1, Nội dung số 04: Hỗ trợ nước sinh hoạt phân tán</t>
  </si>
  <si>
    <t>+</t>
  </si>
  <si>
    <t>Tiểu dự án 1: Phát triển kinh tế nông, lâm nghiệp bền vững gắn với bảo vệ rừng và nâng cao thu nhập cho người dân - Phòng Kinh tế</t>
  </si>
  <si>
    <t>Tiểu dự án 2: Hỗ trợ phát triển sản xuất theo chuỗi giá trị, vùng trồng dược liệu quý, thúc đẩy khởi sự kinh doanh, khởi nghiệp và thu hút đầu tư vùng đồng bào DTTS&amp;MN</t>
  </si>
  <si>
    <t>Dự án 4 - Đầu tư cơ sở hạ tầng thiết yếu, phục vụ sản xuất, đời sống trong vùng đồng bào dân tộc thiểu số và miền núi và các đơn vị sự nghiệp công lập của lĩnh vực dân tộc (Tiểu dự án 1)</t>
  </si>
  <si>
    <t>Dự án 4: Đầu tư cơ sở hạ tầng thiết yếu, phục vụ sản xuất, đời sống trong vùng đồng bào dân tộc thiểu số và miền núi và các đơn vị sự nghiệp công lập của lĩnh vực dân tộc</t>
  </si>
  <si>
    <t xml:space="preserve">Dự án 5: Phát triển giáo dục đào tạo nâng cao chất lượng nguồn nhân lực </t>
  </si>
  <si>
    <t>Tiểu dự án 3: Phát triển giáo dục nghề nghiệp và giải quyết việc làm cho người lao động vùng dân tộc thiểu số và miền núi</t>
  </si>
  <si>
    <t xml:space="preserve">Dự án 10: Truyền thông, tuyên truyền, vận động trong vùng đồng bào dân tộc thiểu số và miền núi. Kiểm tra, giám sát đánh giá việc tổ chức thực hiện Chương trình </t>
  </si>
  <si>
    <t>8.2</t>
  </si>
  <si>
    <t>Chương trình mục tiêu quốc gia xây dựng nông thôn mới</t>
  </si>
  <si>
    <t>Nội dung thành phần số 2: Phát triển hạ tầng kinh tế - xã hội, cơ bản đồng bộ, hiện đại, đảm bảo kết nối nông thôn - đô thị và kết nối các vùng miền</t>
  </si>
  <si>
    <t>8.3</t>
  </si>
  <si>
    <t>Chương trình mục tiêu quốc gia giảm nghèo</t>
  </si>
  <si>
    <t>Dự án 2: Đa dạng hóa sinh kế, phát triển mô hình giảm nghèo</t>
  </si>
  <si>
    <t>Tiểu dự án 1, Dự án 3: Hỗ trợ phát triển sản xuất trong lĩnh vực nông nghiệp</t>
  </si>
  <si>
    <t>Tiểu dự án 3, Dự án 4: Hỗ trợ việc làm bền vững</t>
  </si>
  <si>
    <t>Tiểu dự án 2, Dự án 6: Truyền thông về giảm nghèo đa chiều</t>
  </si>
  <si>
    <t>Tiểu dự án 1, Dự án 7: Nâng cao năng lực thực hiện Chương trình</t>
  </si>
  <si>
    <t>Ghi chú: Số liệu năm 2024 là số liệu của xã Văn Vũ (cũ), xã Cường Lợi (cũ) và từ huyện Na Rì sau khi sắp xếp chính quyền địa phương 02 cấp chuyển về xã Cường Lợi</t>
  </si>
  <si>
    <t xml:space="preserve">Giải trình: Nêu lý do số liệu năm báo cáo tăng/giảm so với số liệu năm liền kề. Thuyết minh từng nội dung được chuyển nguồn năm 2025, trong đó thuyết minh chi tiết nguyên nhân, cơ sở đối với từng nội dung chuyển nguồn Kinh phí khác (kèm theo các văn bản có liên quan như Quyết định chuyển nguồn, văn bản chuyển nguồn của Kho bạc Nhà nước,…)
</t>
  </si>
  <si>
    <t xml:space="preserve">BÁO CÁO THUYẾT MINH CHI CHUYỂN NGUỒN SANG NĂM SAU </t>
  </si>
  <si>
    <t>Tổng</t>
  </si>
  <si>
    <t>QUYẾT TOÁN CHI NGÂN SÁCH ĐỊA PHƯƠNG NĂM 2025</t>
  </si>
  <si>
    <t>Nội dung chi</t>
  </si>
  <si>
    <t>Quyết toán năm 2025</t>
  </si>
  <si>
    <t>So sánh QT/DT(%)</t>
  </si>
  <si>
    <t>HĐND tỉnh giao</t>
  </si>
  <si>
    <t>HĐND cấp xã quyết định</t>
  </si>
  <si>
    <t>Tổng số Chi NSĐP</t>
  </si>
  <si>
    <t>Chi NS xã</t>
  </si>
  <si>
    <t>Kinh phí chuyển nguồn từ năm trước sang</t>
  </si>
  <si>
    <t>Kinh phí được giao năm 2025</t>
  </si>
  <si>
    <t>(1)</t>
  </si>
  <si>
    <t>(2)</t>
  </si>
  <si>
    <t>(3)=(4)</t>
  </si>
  <si>
    <t>(4)=(5)+(6)</t>
  </si>
  <si>
    <t>(5)</t>
  </si>
  <si>
    <t>(6)</t>
  </si>
  <si>
    <t>(7)=(3)/(1)</t>
  </si>
  <si>
    <t>(8)= (3)/(2)</t>
  </si>
  <si>
    <t>CHI CÂN ĐỐI NGÂN SÁCH</t>
  </si>
  <si>
    <t>Chi đầu tư phát triển cho chương trình, dự án theo nguồn vốn (*)</t>
  </si>
  <si>
    <t>Chi xây dựng cơ bản tập trung</t>
  </si>
  <si>
    <t xml:space="preserve">Ngân sách tỉnh </t>
  </si>
  <si>
    <t>Ngân sách tỉnh hỗ trợ xây dựng nông thôn mới</t>
  </si>
  <si>
    <t>Ngân sách tỉnh phân cấp cho xã</t>
  </si>
  <si>
    <t>Ngân sách tỉnh hỗ trợ đối ứng thực hiện CTMQG</t>
  </si>
  <si>
    <t>Ngân sách tỉnh hỗ trợ lập quy hoạch điểm dân cư nông thôn</t>
  </si>
  <si>
    <t>Dư chưa phân bổ</t>
  </si>
  <si>
    <t>Nguồn cân đối ngân sách huyện chuyển về xã sau khi thực hiện chính quyền địa phương 02 cấp</t>
  </si>
  <si>
    <t>Chi từ nguồn thu tiền sử dụng đất</t>
  </si>
  <si>
    <t>Ngân sách tỉnh</t>
  </si>
  <si>
    <t xml:space="preserve">Chi đầu tư xây dựng cơ sở hạ tầng và GPMB từ nguồn thu tiền thuê đất </t>
  </si>
  <si>
    <t>4.1</t>
  </si>
  <si>
    <t xml:space="preserve"> Ngân sách tỉnh</t>
  </si>
  <si>
    <t>Chi đầu tư khác (Chi tiết theo từng nguồn vốn nếu có)</t>
  </si>
  <si>
    <t>Nguồn tăng thu, tiết kiệm chi năm 2024 ngân sách huyện trước sắp xếp, sáp nhập chuyển về xã đã phân bổ đến các dự án</t>
  </si>
  <si>
    <t>Nguồn tăng thu, tiết kiệm chi năm 2024 ngân sách huyện trước sắp xếp, sáp nhập chuyển về xã dư chưa phân bổ</t>
  </si>
  <si>
    <t>Nguồn tăng thu, tiết kiệm chi năm 2024 ngân sách xã trước sắp xếp, sáp nhập</t>
  </si>
  <si>
    <t>Chi chương trình MTQG, chương trình mục tiêu, hỗ trợ có mục tiêu khác - Vốn đầu tư Ngân sách Trung ương (**)</t>
  </si>
  <si>
    <t>6.1</t>
  </si>
  <si>
    <t>Vốn thực hiện các Chương trình MTQG</t>
  </si>
  <si>
    <t>CTMTQG giảm nghèo bền vững</t>
  </si>
  <si>
    <t>CTMT quốc gia xây dựng nông thôn mới</t>
  </si>
  <si>
    <t>CTMTQG phát triển kinh tế - xã hội vùng đồng bào dân tộc thiểu số và miền núi</t>
  </si>
  <si>
    <t>Vốn NSTW đầu tư theo ngành, lĩnh vực, dự án trọng điểm, liên vùng</t>
  </si>
  <si>
    <t>6.3</t>
  </si>
  <si>
    <t>Vốn Chương trình Phục hồi và phát triển kinh tế xã hội</t>
  </si>
  <si>
    <t>Chi đầu tư phát triển cho chương trình, dự án theo lĩnh vực (***)</t>
  </si>
  <si>
    <t>Chi Giáo dục - đào tạo và dạy nghề</t>
  </si>
  <si>
    <t>Chi Khoa học và công nghệ</t>
  </si>
  <si>
    <t>Chi Y tế, dân số và gia đình</t>
  </si>
  <si>
    <t>Chi Văn hóa thông tin</t>
  </si>
  <si>
    <t>Chi Phát thanh, truyền hình, thông tấn</t>
  </si>
  <si>
    <t>Chi Thể dục thể thao</t>
  </si>
  <si>
    <t>Chi Bảo vệ môi trường</t>
  </si>
  <si>
    <t>Chi hoạt động của các cơ quan quản lý nhà nước, đảng, đoàn thể</t>
  </si>
  <si>
    <t>Chi Bảo đảm xã hội</t>
  </si>
  <si>
    <t>Các nội dung khác (Chi tiết theo từng nội dung)</t>
  </si>
  <si>
    <t>Kế hoạch vốn dư chưa phân bổ nguồn CTMTQG</t>
  </si>
  <si>
    <t>Kế hoạch vốn dư chưa phân bổ nguồn tăng thu tiết kiệm chi ngân sách huyện chuyển về ngân sách xã</t>
  </si>
  <si>
    <t>Kế hoạch vốn dư chưa phân bổ nguồn XDCB tập trung</t>
  </si>
  <si>
    <t>Chi đầu tư và hỗ trợ vốn cho các doanh nghiệp hoạt động công</t>
  </si>
  <si>
    <t>Chi trả nợ lãi vay theo quy định</t>
  </si>
  <si>
    <t>Sự nghiệp Giáo dục</t>
  </si>
  <si>
    <t>Sự nghiệp Đào tạo và dạy nghề</t>
  </si>
  <si>
    <t>2.10</t>
  </si>
  <si>
    <t>2.11</t>
  </si>
  <si>
    <t>Khối quản lý nhà nước</t>
  </si>
  <si>
    <t>Khối Đảng</t>
  </si>
  <si>
    <t>Khối đoàn thể</t>
  </si>
  <si>
    <t>2.12</t>
  </si>
  <si>
    <t>2.13</t>
  </si>
  <si>
    <t>2.14</t>
  </si>
  <si>
    <t xml:space="preserve">Tiết kiệm 10% chi thường xuyên 7 tháng cuối năm </t>
  </si>
  <si>
    <t>2.15</t>
  </si>
  <si>
    <t>Nguồn chuyển nguồn 2024 chuyển sang 2025 (nguồn thực hiện chính sách tiền lương, phụ cấp, trợ cấp và các khoản tính theo tiền lương cơ sở, bảo trợ xã hội)</t>
  </si>
  <si>
    <t>2.16</t>
  </si>
  <si>
    <t>Nguồn tăng thu tiết kiệm chi từ nguồn tiết kiệm 5% chuyển nguồn tại ngân sách cấp huyện</t>
  </si>
  <si>
    <t>2.17</t>
  </si>
  <si>
    <t>Nguồn tự chủ ngân sách huyện chuyển về xã sau khi thực hiện chính quyền địa phương 02 cấp</t>
  </si>
  <si>
    <t>Chi chuyển nguồn</t>
  </si>
  <si>
    <t>Kết dư ngân sách cấp huyện chuyển về xã sau khi thực hiện chính quyền địa phương 02 cấp</t>
  </si>
  <si>
    <t>CHI BỔ SUNG CHO NGÂN SÁCH CẤP DƯỚI</t>
  </si>
  <si>
    <t>Bổ sung cân đối</t>
  </si>
  <si>
    <t>Tr. đó: - Bằng nguồn vốn trong nước</t>
  </si>
  <si>
    <t xml:space="preserve">           - Bằng nguồn vốn ngoài nước</t>
  </si>
  <si>
    <t>TỔNG SỐ (A+B+C)</t>
  </si>
  <si>
    <t>* Thuyết minh: Đối với nội dung quyết toán chi ngân sách xã mục (5) kinh phí chuyển nguồn từ năm trước sang là 12.721.022,111 nghìn đồng, trong khi dự toán kinh phí chyển nguồn từ năm trước sang được hội đồng nhân xã giao là 12.540.879,111 nghìn đồng (bao gồm chuyển nguồn và kết dư). Số chi cao hơn dự toán được giao là 180.123,000 nghìn đồng, do thực hiện chính quyền địa phương 02 cấp UBND tỉnh giao dự toán chuyển nguồn, kết dư cho xã và sau khi HĐND xã giao lại bằng số của UBND tỉnh là 12.540.879,111 nghìn đồng đã loại trừ phần nộp trả ngân sách cấp trên của 02 xã cũ là 180.123,000 nghìn đồng.</t>
  </si>
  <si>
    <t xml:space="preserve">Ngày … tháng … năm … </t>
  </si>
  <si>
    <t>Ngày 19 tháng 3 năm 2026</t>
  </si>
  <si>
    <t>Cường Lợi, ngày 19 tháng 3 năm 2026</t>
  </si>
  <si>
    <t>GIÁM ĐỐC KBNN KV VII- PGD số 8</t>
  </si>
  <si>
    <t>CƠ QUAN TÀI CHÍNH</t>
  </si>
  <si>
    <t>TM. UBND XÃ CƯỜNG LỢI</t>
  </si>
  <si>
    <t>Ghi chú:</t>
  </si>
  <si>
    <t>Đây là mẫu chung cho cấp tỉnh, huyện, xã, khi báo cáo, dùng và in các chỉ tiêu thuộc phạm vi được giao quản lý của cấp tương ứng</t>
  </si>
  <si>
    <t>- Cột (1) chỉ phản ánh những chỉ tiêu TW giao ở dòng tương ứng</t>
  </si>
  <si>
    <t>(1) - Phản ánh các khoản chi từ nguồn thu đơn vị được để lại chi theo chế độ quy định</t>
  </si>
  <si>
    <t>Ghi chú: Mục (*) = Mục (***)
                Mục (**): Số liệu khớp đúng với biểu thuyết minh các CT MTQG, mục tiêu nhiệm vụ khác (Biểu số 05a)</t>
  </si>
  <si>
    <t>Biểu mẫu số 48/NĐ31</t>
  </si>
  <si>
    <t>Biểu mẫu số 49/NĐ31</t>
  </si>
  <si>
    <t>Biểu mẫu số 50/NĐ31</t>
  </si>
  <si>
    <t>Biểu mẫu số 51/NĐ31</t>
  </si>
  <si>
    <t>Biểu mẫu số 52/NĐ31</t>
  </si>
  <si>
    <t>Biểu mẫu số 53/NĐ31</t>
  </si>
  <si>
    <t>Biểu mẫu số 54/NĐ31</t>
  </si>
  <si>
    <t>Biểu mẫu số 55/NĐ31</t>
  </si>
  <si>
    <t>Biểu mẫu số 56/NĐ31</t>
  </si>
  <si>
    <t>Biểu mẫu số 57/NĐ31</t>
  </si>
  <si>
    <t>Biểu mẫu số 58/NĐ31</t>
  </si>
  <si>
    <t>Biểu mẫu số 59/NĐ31</t>
  </si>
  <si>
    <t>Biểu mẫu số 60/NĐ31</t>
  </si>
  <si>
    <t>Biểu mẫu số 61/NĐ31</t>
  </si>
  <si>
    <t>Mẫu biểu số 62/NĐ31</t>
  </si>
  <si>
    <t>Biểu mẫu số 63/NĐ31</t>
  </si>
  <si>
    <t>Biểu mẫu số 64/NĐ31</t>
  </si>
  <si>
    <t>Vốn xây dựng cơ bản tập trung dư chưa phân bổ</t>
  </si>
  <si>
    <t>Chính sách hỗ trợ miễn giảm học phí, chi phí học tập cho học sinh, sinh viên thuộc hộ nghèo, hộ cận nghèo theo Nghị định số 81/2021/NĐ-CP; NĐ 238/2025/NĐ-CP (không bao gồm 143,0812 triệu đồng từ 40% trích cải cách tiền lương cấp bù học phí kỳ 2 năm học 2024-2025 và kỳ 1 năm học 2025-2026 giữ lại tại xã)</t>
  </si>
  <si>
    <t>(Kèm theo Báo cáo số 151/BC-UBND ngày 20/3/2026 của UBND xã Cường Lợi)</t>
  </si>
  <si>
    <t>UB MTTQVN xã</t>
  </si>
  <si>
    <t>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</si>
</sst>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6">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 _₫_-;\-* #,##0\ _₫_-;_-* &quot;-&quot;\ _₫_-;_-@_-"/>
    <numFmt numFmtId="165" formatCode="_-* #,##0.00\ _₫_-;\-* #,##0.00\ _₫_-;_-* &quot;-&quot;??\ _₫_-;_-@_-"/>
    <numFmt numFmtId="166" formatCode="_(* #,##0.0_);_(* \(#,##0.0\);_(* &quot;-&quot;??_);_(@_)"/>
    <numFmt numFmtId="167" formatCode="_(* #,##0_);_(* \(#,##0\);_(* &quot;-&quot;??_);_(@_)"/>
    <numFmt numFmtId="168" formatCode="_-* #,##0.000000\ _₫_-;\-* #,##0.000000\ _₫_-;_-* &quot;-&quot;??\ _₫_-;_-@_-"/>
    <numFmt numFmtId="169" formatCode="_(* #,##0.000_);_(* \(#,##0.000\);_(* &quot;-&quot;??_);_(@_)"/>
    <numFmt numFmtId="170" formatCode="_-* #,##0\ _₫_-;\-* #,##0\ _₫_-;_-* &quot;-&quot;??\ _₫_-;_-@_-"/>
    <numFmt numFmtId="171" formatCode="_-* #,##0.000000\ _₫_-;\-* #,##0.000000\ _₫_-;_-* &quot;-&quot;??????\ _₫_-;_-@_-"/>
    <numFmt numFmtId="172" formatCode="_(* #,##0.0000_);_(* \(#,##0.0000\);_(* &quot;-&quot;??_);_(@_)"/>
    <numFmt numFmtId="173" formatCode="_(* #,##0.00000_);_(* \(#,##0.00000\);_(* &quot;-&quot;??_);_(@_)"/>
    <numFmt numFmtId="174" formatCode="_(* #,##0.000000_);_(* \(#,##0.000000\);_(* &quot;-&quot;??_);_(@_)"/>
    <numFmt numFmtId="175" formatCode="_(* #,##0.0000000_);_(* \(#,##0.0000000\);_(* &quot;-&quot;??_);_(@_)"/>
    <numFmt numFmtId="176" formatCode="_(* #,##0.00000000_);_(* \(#,##0.00000000\);_(* &quot;-&quot;??_);_(@_)"/>
    <numFmt numFmtId="177" formatCode="#,##0.000000"/>
    <numFmt numFmtId="178" formatCode="0.000000"/>
    <numFmt numFmtId="179" formatCode="_-* #,##0.000\ _₫_-;\-* #,##0.000\ _₫_-;_-* &quot;-&quot;??????\ _₫_-;_-@_-"/>
    <numFmt numFmtId="180" formatCode="#,##0.000"/>
    <numFmt numFmtId="181" formatCode="_(* #,##0.000000_);_(* \(#,##0.000000\);_(* &quot;-&quot;??????_);_(@_)"/>
    <numFmt numFmtId="182" formatCode="_(* #,##0.00000_);_(* \(#,##0.00000\);_(* &quot;-&quot;?????_);_(@_)"/>
    <numFmt numFmtId="183" formatCode="_(* #,##0.0000_);_(* \(#,##0.0000\);_(* &quot;-&quot;??????_);_(@_)"/>
    <numFmt numFmtId="184" formatCode="#,##0.000000_);\(#,##0.000000\)"/>
    <numFmt numFmtId="185" formatCode="_-* #,##0.0000000\ _₫_-;\-* #,##0.0000000\ _₫_-;_-* &quot;-&quot;??\ _₫_-;_-@_-"/>
    <numFmt numFmtId="186" formatCode="#,##0_ ;\-#,##0\ "/>
    <numFmt numFmtId="187" formatCode="###\ ###\ ###\ ###\ ###"/>
    <numFmt numFmtId="188" formatCode="#,##0_ ;[Red]\-#,##0\ "/>
    <numFmt numFmtId="189" formatCode="_(* #,##0.0000000_);_(* \(#,##0.0000000\);_(* &quot;-&quot;???????_);_(@_)"/>
    <numFmt numFmtId="190" formatCode="_-* #,##0.00000\ _₫_-;\-* #,##0.00000\ _₫_-;_-* &quot;-&quot;??\ _₫_-;_-@_-"/>
    <numFmt numFmtId="191" formatCode="_-* #,##0.00000000\ _₫_-;\-* #,##0.00000000\ _₫_-;_-* &quot;-&quot;??\ _₫_-;_-@_-"/>
    <numFmt numFmtId="192" formatCode="_(* #,##0.0000000_);_(* \(#,##0.0000000\);_(* &quot;-&quot;??????_);_(@_)"/>
    <numFmt numFmtId="193" formatCode="0.0000000"/>
    <numFmt numFmtId="194" formatCode="_-* #,##0.000\ _₫_-;\-* #,##0.000\ _₫_-;_-* &quot;-&quot;???\ _₫_-;_-@_-"/>
    <numFmt numFmtId="195" formatCode="_-* #,##0_-;\-* #,##0_-;_-* &quot;-&quot;_-;_-@_-"/>
    <numFmt numFmtId="196" formatCode="_-* #,##0.00_-;\-* #,##0.00_-;_-* &quot;-&quot;??_-;_-@_-"/>
    <numFmt numFmtId="197" formatCode="_-&quot;$&quot;* #,##0_-;\-&quot;$&quot;* #,##0_-;_-&quot;$&quot;* &quot;-&quot;_-;_-@_-"/>
    <numFmt numFmtId="198" formatCode="_-&quot;$&quot;* #,##0.00_-;\-&quot;$&quot;* #,##0.00_-;_-&quot;$&quot;* &quot;-&quot;??_-;_-@_-"/>
    <numFmt numFmtId="199" formatCode="00.000"/>
    <numFmt numFmtId="200" formatCode="&quot;￥&quot;#,##0;&quot;￥&quot;\-#,##0"/>
    <numFmt numFmtId="201" formatCode="0.0"/>
    <numFmt numFmtId="202" formatCode="&quot;$&quot;#,##0;[Red]\-&quot;$&quot;#,##0"/>
    <numFmt numFmtId="203" formatCode="###,###"/>
    <numFmt numFmtId="204" formatCode="#,##0.0"/>
    <numFmt numFmtId="205" formatCode="&quot;\&quot;#,##0;[Red]&quot;\&quot;&quot;\&quot;\-#,##0"/>
    <numFmt numFmtId="206" formatCode="_ &quot;\&quot;* #,##0_ ;_ &quot;\&quot;* \-#,##0_ ;_ &quot;\&quot;* &quot;-&quot;_ ;_ @_ "/>
    <numFmt numFmtId="207" formatCode="_ * #,##0_ ;_ * \-#,##0_ ;_ * &quot;-&quot;_ ;_ @_ "/>
    <numFmt numFmtId="208" formatCode="_ * #,##0.00_ ;_ * \-#,##0.00_ ;_ * &quot;-&quot;??_ ;_ @_ "/>
    <numFmt numFmtId="209" formatCode=";;"/>
    <numFmt numFmtId="210" formatCode="0.000_)"/>
    <numFmt numFmtId="211" formatCode="#,##0;\(#,##0\)"/>
    <numFmt numFmtId="212" formatCode="\$#,##0\ ;\(\$#,##0\)"/>
    <numFmt numFmtId="213" formatCode="\t0.00%"/>
    <numFmt numFmtId="214" formatCode="\t#\ ??/??"/>
    <numFmt numFmtId="215" formatCode="_ * #,##0.00_)_d_ ;_ * \(#,##0.00\)_d_ ;_ * &quot;-&quot;??_)_d_ ;_ @_ "/>
    <numFmt numFmtId="216" formatCode="0.000"/>
    <numFmt numFmtId="217" formatCode="#,##0\ &quot;$&quot;_);[Red]\(#,##0\ &quot;$&quot;\)"/>
    <numFmt numFmtId="218" formatCode="&quot;$&quot;###,0&quot;.&quot;00_);[Red]\(&quot;$&quot;###,0&quot;.&quot;00\)"/>
    <numFmt numFmtId="219" formatCode="&quot;VND&quot;#,##0_);[Red]\(&quot;VND&quot;#,##0\)"/>
    <numFmt numFmtId="220" formatCode="#,##0\ &quot;F&quot;;\-#,##0\ &quot;F&quot;"/>
    <numFmt numFmtId="221" formatCode="&quot;$&quot;\ #,##0.00;&quot;$&quot;\ \-#,##0.00"/>
    <numFmt numFmtId="222" formatCode="_-&quot;£&quot;* #,##0_-;\-&quot;£&quot;* #,##0_-;_-&quot;£&quot;* &quot;-&quot;_-;_-@_-"/>
    <numFmt numFmtId="223" formatCode="##.##%"/>
    <numFmt numFmtId="224" formatCode="#,##0.0_);\(#,##0.0\)"/>
    <numFmt numFmtId="225" formatCode="0.0%;[Red]\(0.0%\)"/>
    <numFmt numFmtId="226" formatCode="_ * #,##0.00_)&quot;£&quot;_ ;_ * \(#,##0.00\)&quot;£&quot;_ ;_ * &quot;-&quot;??_)&quot;£&quot;_ ;_ @_ "/>
    <numFmt numFmtId="227" formatCode="0.0%;\(0.0%\)"/>
    <numFmt numFmtId="228" formatCode="##,###.##"/>
    <numFmt numFmtId="229" formatCode="#0.##"/>
    <numFmt numFmtId="230" formatCode="_-* #,##0_-;\-* #,##0_-;_-* &quot;-&quot;??_-;_-@_-"/>
    <numFmt numFmtId="231" formatCode="#,##0.00\ &quot;F&quot;;[Red]\-#,##0.00\ &quot;F&quot;"/>
    <numFmt numFmtId="232" formatCode="##,##0%"/>
    <numFmt numFmtId="233" formatCode="#,###%"/>
    <numFmt numFmtId="234" formatCode="##.##"/>
    <numFmt numFmtId="235" formatCode="###.###"/>
    <numFmt numFmtId="236" formatCode="##,###.####"/>
    <numFmt numFmtId="237" formatCode="##,##0.##"/>
    <numFmt numFmtId="238" formatCode="_-* #,##0\ _F_B_-;\-* #,##0\ _F_B_-;_-* &quot;-&quot;\ _F_B_-;_-@_-"/>
    <numFmt numFmtId="239" formatCode="#,##0.000_);\(#,##0.000\)"/>
    <numFmt numFmtId="240" formatCode="_-* #,##0.0\ _F_-;\-* #,##0.0\ _F_-;_-* &quot;-&quot;??\ _F_-;_-@_-"/>
    <numFmt numFmtId="241" formatCode="#,##0.00\ \ "/>
    <numFmt numFmtId="242" formatCode="&quot;€&quot;#,##0_);\(&quot;€&quot;#,##0\)"/>
    <numFmt numFmtId="243" formatCode="#,##0\ &quot;€&quot;;\-#,##0\ &quot;€&quot;"/>
    <numFmt numFmtId="244" formatCode="#,##0\ &quot;F&quot;;[Red]\-#,##0\ &quot;F&quot;"/>
    <numFmt numFmtId="245" formatCode="_-* #,##0.00\ _€_-;\-* #,##0.00\ _€_-;_-* &quot;-&quot;??\ _€_-;_-@_-"/>
    <numFmt numFmtId="246" formatCode="&quot;\&quot;#&quot;,&quot;##0&quot;.&quot;00;[Red]&quot;\&quot;\-#&quot;,&quot;##0&quot;.&quot;00"/>
    <numFmt numFmtId="247" formatCode="&quot;\&quot;#&quot;,&quot;##0;[Red]&quot;\&quot;\-#&quot;,&quot;##0"/>
    <numFmt numFmtId="248" formatCode="&quot;,&quot;###,0&quot;.&quot;00_);\(&quot;,&quot;###,0&quot;.&quot;00\)"/>
    <numFmt numFmtId="249" formatCode="&quot;,&quot;###,0&quot;.&quot;00_);[Red]\(&quot;,&quot;###,0&quot;.&quot;00\)"/>
    <numFmt numFmtId="250" formatCode="_(&quot;,&quot;* #,##0_);_(&quot;,&quot;* \(#,##0\);_(&quot;,&quot;* &quot;-&quot;_);_(@_)"/>
    <numFmt numFmtId="251" formatCode="_(* ###,0&quot;.&quot;00_);_(* \(###,0&quot;.&quot;00\);_(* &quot;-&quot;??_);_(@_)"/>
    <numFmt numFmtId="252" formatCode="_(&quot;$&quot;* ###,0&quot;.&quot;00_);_(&quot;$&quot;* \(###,0&quot;.&quot;00\);_(&quot;$&quot;* &quot;-&quot;??_);_(@_)"/>
    <numFmt numFmtId="253" formatCode="&quot;,&quot;#&quot;,&quot;##0&quot;.&quot;00_);\(&quot;,&quot;#&quot;,&quot;##0&quot;.&quot;00\)"/>
    <numFmt numFmtId="254" formatCode="&quot;,&quot;#&quot;,&quot;##0&quot;.&quot;00_);[Red]\(&quot;,&quot;#&quot;,&quot;##0&quot;.&quot;00\)"/>
    <numFmt numFmtId="255" formatCode="0.00000000000E+00;\?"/>
    <numFmt numFmtId="256" formatCode="&quot;£&quot;#,##0;[Red]\-&quot;£&quot;#,##0"/>
    <numFmt numFmtId="257" formatCode="[$€-2]\ #,##0.00_);[Red]\([$€-2]\ #,##0.00\)"/>
    <numFmt numFmtId="258" formatCode="##"/>
    <numFmt numFmtId="259" formatCode="###\ ###\ ###\ ###\ ###\ ###"/>
    <numFmt numFmtId="260" formatCode="#######\ ###\ ###.##"/>
    <numFmt numFmtId="261" formatCode="&quot;\&quot;#,##0.00;[Red]&quot;\&quot;&quot;\&quot;&quot;\&quot;&quot;\&quot;&quot;\&quot;&quot;\&quot;\-#,##0.00"/>
    <numFmt numFmtId="262" formatCode="#.##00"/>
    <numFmt numFmtId="263" formatCode="###0_);[Red]\(###0\)"/>
    <numFmt numFmtId="264" formatCode="_(* #.#####._);_(* \(#.#####.\);_(* &quot;-&quot;??_);_(@@"/>
    <numFmt numFmtId="265" formatCode="_(* #.#######._);_(* \(#.#######.\);_(* &quot;-&quot;??_);_(@@"/>
    <numFmt numFmtId="266" formatCode="0.00000"/>
    <numFmt numFmtId="267" formatCode="_(* #.######._);_(* \(#.######.\);_(* &quot;-&quot;??_);_(@@"/>
    <numFmt numFmtId="268" formatCode="d/m/yy;@"/>
    <numFmt numFmtId="269" formatCode="_(\§\g\ #,##0_);_(\§\g\ \(#,##0\);_(\§\g\ &quot;-&quot;??_);_(@_)"/>
    <numFmt numFmtId="270" formatCode="_(\§\g\ #,##0_);_(\§\g\ \(#,##0\);_(\§\g\ &quot;-&quot;_);_(@_)"/>
    <numFmt numFmtId="271" formatCode="\§\g#,##0_);\(\§\g#,##0\)"/>
    <numFmt numFmtId="272" formatCode="0&quot;.&quot;0000"/>
    <numFmt numFmtId="273" formatCode="&quot;\&quot;#,##0;[Red]\-&quot;\&quot;#,##0"/>
    <numFmt numFmtId="274" formatCode="&quot;\&quot;#,##0.00;\-&quot;\&quot;#,##0.00"/>
    <numFmt numFmtId="275" formatCode="0.00_)"/>
    <numFmt numFmtId="276" formatCode="#,##0&quot;£&quot;_);[Red]\(#,##0&quot;£&quot;\)"/>
    <numFmt numFmtId="277" formatCode="_ * #,##0_)\ &quot;.&quot;_ ;_ * \(#,##0\)\ &quot;.&quot;_ ;_ * &quot;-&quot;_)\ &quot;.&quot;_ ;_ @_ "/>
    <numFmt numFmtId="278" formatCode="_ * #,##0.00_)\ _$_ ;_ * \(#,##0.00\)\ _$_ ;_ * &quot;-&quot;??_)\ _$_ ;_ @_ "/>
    <numFmt numFmtId="279" formatCode="_-* #,##0.00\ _F_-;\-* #,##0.00\ _F_-;_-* &quot;-&quot;??\ _F_-;_-@_-"/>
    <numFmt numFmtId="280" formatCode="&quot;£&quot;#,##0;\-&quot;£&quot;#,##0"/>
    <numFmt numFmtId="281" formatCode="_-&quot;€&quot;* #,##0_-;\-&quot;€&quot;* #,##0_-;_-&quot;€&quot;* &quot;-&quot;_-;_-@_-"/>
    <numFmt numFmtId="282" formatCode="_-* #,##0\ &quot;€&quot;_-;\-* #,##0\ &quot;€&quot;_-;_-* &quot;-&quot;\ &quot;€&quot;_-;_-@_-"/>
    <numFmt numFmtId="283" formatCode="_-* #,##0\ _F_-;\-* #,##0\ _F_-;_-* &quot;-&quot;\ _F_-;_-@_-"/>
    <numFmt numFmtId="284" formatCode="_-&quot;ñ&quot;* #,##0_-;\-&quot;ñ&quot;* #,##0_-;_-&quot;ñ&quot;* &quot;-&quot;_-;_-@_-"/>
    <numFmt numFmtId="285" formatCode="_-* #,##0.00\ _ñ_-;\-* #,##0.00\ _ñ_-;_-* &quot;-&quot;??\ _ñ_-;_-@_-"/>
    <numFmt numFmtId="286" formatCode="_-* #,##0.00\ _ñ_-;_-* #,##0.00\ _ñ\-;_-* &quot;-&quot;??\ _ñ_-;_-@_-"/>
    <numFmt numFmtId="287" formatCode="_-* #,##0\ &quot;F&quot;_-;\-* #,##0\ &quot;F&quot;_-;_-* &quot;-&quot;\ &quot;F&quot;_-;_-@_-"/>
    <numFmt numFmtId="288" formatCode="_(&quot;$&quot;\ * #,##0_);_(&quot;$&quot;\ * \(#,##0\);_(&quot;$&quot;\ * &quot;-&quot;_);_(@_)"/>
    <numFmt numFmtId="289" formatCode="_-* #,##0\ &quot;ñ&quot;_-;\-* #,##0\ &quot;ñ&quot;_-;_-* &quot;-&quot;\ &quot;ñ&quot;_-;_-@_-"/>
    <numFmt numFmtId="290" formatCode="_-* #,##0\ _ñ_-;\-* #,##0\ _ñ_-;_-* &quot;-&quot;\ _ñ_-;_-@_-"/>
    <numFmt numFmtId="291" formatCode="_-* #,##0\ _ñ_-;_-* #,##0\ _ñ\-;_-* &quot;-&quot;\ _ñ_-;_-@_-"/>
    <numFmt numFmtId="292" formatCode="_ * #,##0_)\ &quot;F&quot;_ ;_ * \(#,##0\)\ &quot;F&quot;_ ;_ * &quot;-&quot;_)\ &quot;F&quot;_ ;_ @_ "/>
    <numFmt numFmtId="293" formatCode="&quot;£&quot;#,##0.00;\-&quot;£&quot;#,##0.00"/>
    <numFmt numFmtId="294" formatCode="_ * #,##0_)\ _$_ ;_ * \(#,##0\)\ _$_ ;_ * &quot;-&quot;_)\ _$_ ;_ @_ "/>
    <numFmt numFmtId="295" formatCode="_-&quot;F&quot;* #,##0_-;\-&quot;F&quot;* #,##0_-;_-&quot;F&quot;* &quot;-&quot;_-;_-@_-"/>
    <numFmt numFmtId="296" formatCode="_-* #,##0.00\ &quot;F&quot;_-;\-* #,##0.00\ &quot;F&quot;_-;_-* &quot;-&quot;??\ &quot;F&quot;_-;_-@_-"/>
    <numFmt numFmtId="297" formatCode="_ * #,##0_)_đ_ ;_ * \(#,##0\)_đ_ ;_ * &quot;-&quot;_)_đ_ ;_ @_ "/>
    <numFmt numFmtId="298" formatCode="_-* #,##0.00\ _V_N_D_-;\-* #,##0.00\ _V_N_D_-;_-* &quot;-&quot;??\ _V_N_D_-;_-@_-"/>
    <numFmt numFmtId="299" formatCode="&quot;True&quot;;&quot;True&quot;;&quot;False&quot;"/>
    <numFmt numFmtId="300" formatCode="_ &quot;R&quot;\ * #,##0_ ;_ &quot;R&quot;\ * \-#,##0_ ;_ &quot;R&quot;\ * &quot;-&quot;_ ;_ @_ "/>
    <numFmt numFmtId="301" formatCode="_-&quot;VND&quot;* #,##0_-;\-&quot;VND&quot;* #,##0_-;_-&quot;VND&quot;* &quot;-&quot;_-;_-@_-"/>
    <numFmt numFmtId="302" formatCode="_(&quot;Rp&quot;* #,##0.00_);_(&quot;Rp&quot;* \(#,##0.00\);_(&quot;Rp&quot;* &quot;-&quot;??_);_(@_)"/>
    <numFmt numFmtId="303" formatCode="#,##0.00\ &quot;FB&quot;;[Red]\-#,##0.00\ &quot;FB&quot;"/>
    <numFmt numFmtId="304" formatCode="#,##0\ &quot;$&quot;;\-#,##0\ &quot;$&quot;"/>
    <numFmt numFmtId="305" formatCode="&quot;$&quot;#,##0;\-&quot;$&quot;#,##0"/>
    <numFmt numFmtId="306" formatCode="#,##0_);\-#,##0_)"/>
    <numFmt numFmtId="307" formatCode="#,###;\-#,###;&quot;&quot;;_(@_)"/>
    <numFmt numFmtId="308" formatCode="#,##0\ &quot;$&quot;_);\(#,##0\ &quot;$&quot;\)"/>
    <numFmt numFmtId="309" formatCode="#,##0.00_);\-#,##0.00_)"/>
    <numFmt numFmtId="310" formatCode="#"/>
    <numFmt numFmtId="311" formatCode="&quot;¡Ì&quot;#,##0;[Red]\-&quot;¡Ì&quot;#,##0"/>
    <numFmt numFmtId="312" formatCode="&quot;.&quot;#,##0.00_);[Red]\(&quot;.&quot;#,##0.00\)"/>
    <numFmt numFmtId="313" formatCode="_ * #,##0_ ;_ * \-#,##0_ ;_ * &quot;-&quot;??_ ;_ @_ "/>
    <numFmt numFmtId="314" formatCode="_(* #.##0.00_);_(* \(#.##0.00\);_(* &quot;-&quot;??_);_(@_)"/>
    <numFmt numFmtId="315" formatCode="#,##0.00\ \ \ \ "/>
    <numFmt numFmtId="316" formatCode="_ * #.##._ ;_ * \-#.##._ ;_ * &quot;-&quot;??_ ;_ @_ⴆ"/>
    <numFmt numFmtId="317" formatCode="_-* #,##0\ _F_-;\-* #,##0\ _F_-;_-* &quot;-&quot;??\ _F_-;_-@_-"/>
    <numFmt numFmtId="318" formatCode="_(* #,##0.000_);_(* \(#,##0.000\);_(* &quot;-&quot;???_);_(@_)"/>
    <numFmt numFmtId="319" formatCode="&quot;.&quot;#,##0.00_);\(&quot;.&quot;#,##0.00\)"/>
    <numFmt numFmtId="320" formatCode="&quot;\&quot;#,##0;\-&quot;\&quot;#,##0"/>
    <numFmt numFmtId="321" formatCode="&quot;\&quot;#,##0;&quot;\&quot;&quot;\&quot;&quot;\&quot;&quot;\&quot;&quot;\&quot;&quot;\&quot;&quot;\&quot;\-#,##0"/>
    <numFmt numFmtId="322" formatCode="m/d"/>
    <numFmt numFmtId="323" formatCode="&quot;?&quot;#,##0;&quot;?&quot;\-#,##0"/>
    <numFmt numFmtId="324" formatCode="#,##0\ &quot;þ&quot;;[Red]\-#,##0\ &quot;þ&quot;"/>
    <numFmt numFmtId="325" formatCode="&quot;\&quot;#,##0;[Red]&quot;\&quot;\!\-&quot;\&quot;#,##0"/>
    <numFmt numFmtId="326" formatCode="#&quot;,&quot;##0.00\ &quot;F&quot;;[Red]\-#&quot;,&quot;##0.00\ &quot;F&quot;"/>
    <numFmt numFmtId="327" formatCode="###&quot;,&quot;0&quot;,&quot;00\ &quot;F&quot;;[Red]\-###&quot;,&quot;0&quot;,&quot;00\ &quot;F&quot;"/>
    <numFmt numFmtId="328" formatCode="###&quot;,&quot;0&quot;.&quot;00\ &quot;F&quot;;[Red]\-###&quot;,&quot;0&quot;.&quot;00\ &quot;F&quot;"/>
    <numFmt numFmtId="329" formatCode="_-* #,##0_L_e_k_-;\-* #,##0_L_e_k_-;_-* &quot;-&quot;??_L_e_k_-;_-@_-"/>
    <numFmt numFmtId="330" formatCode="#&quot;,&quot;##0\ &quot;F&quot;;[Red]\-#&quot;,&quot;##0\ &quot;F&quot;"/>
    <numFmt numFmtId="331" formatCode="#&quot;,&quot;###"/>
    <numFmt numFmtId="332" formatCode="_-* #&quot;,&quot;##0\ &quot;F&quot;_-;\-* #&quot;,&quot;##0\ &quot;F&quot;_-;_-* &quot;-&quot;\ &quot;F&quot;_-;_-@_-"/>
    <numFmt numFmtId="333" formatCode="###&quot;,&quot;0&quot;.&quot;00\ &quot;F&quot;;\-###&quot;,&quot;0&quot;.&quot;00\ &quot;F&quot;"/>
    <numFmt numFmtId="334" formatCode="_(* #,##0.000000_);_(* \(#,##0.000000\);_(* &quot;-&quot;?????_);_(@_)"/>
    <numFmt numFmtId="335" formatCode="#,###"/>
    <numFmt numFmtId="336" formatCode="#,##0.00000000"/>
    <numFmt numFmtId="337" formatCode="0.00000000"/>
    <numFmt numFmtId="339" formatCode="#,##0.0000000"/>
    <numFmt numFmtId="340" formatCode="_-* #,##0.00000000\ _₫_-;\-* #,##0.00000000\ _₫_-;_-* &quot;-&quot;???\ _₫_-;_-@_-"/>
    <numFmt numFmtId="341" formatCode="#,###;[Red]\-#,###"/>
    <numFmt numFmtId="342" formatCode="_(* #,##0.00000000_);_(* \(#,##0.00000000\);_(* &quot;-&quot;??????_);_(@_)"/>
    <numFmt numFmtId="343" formatCode="_(* #,##0.0000000_);_(* \(#,##0.0000000\);_(* &quot;-&quot;?????_);_(@_)"/>
  </numFmts>
  <fonts count="373">
    <font>
      <sz val="11"/>
      <color indexed="8"/>
      <name val="times new roman"/>
      <family val="2"/>
      <charset val="163"/>
    </font>
    <font>
      <sz val="12"/>
      <color theme="1"/>
      <name val="Times New Roman"/>
      <family val="2"/>
    </font>
    <font>
      <sz val="12"/>
      <color theme="1"/>
      <name val="Times New Roman"/>
      <family val="2"/>
    </font>
    <font>
      <b/>
      <sz val="12"/>
      <name val="Times New Roman"/>
      <family val="1"/>
    </font>
    <font>
      <i/>
      <sz val="12"/>
      <name val="Times New Roman"/>
      <family val="1"/>
    </font>
    <font>
      <sz val="12"/>
      <color indexed="8"/>
      <name val="Times New Roman"/>
      <family val="1"/>
    </font>
    <font>
      <i/>
      <sz val="12"/>
      <color indexed="8"/>
      <name val="Times New Roman"/>
      <family val="1"/>
    </font>
    <font>
      <sz val="12"/>
      <name val="Times New Roman"/>
      <family val="1"/>
    </font>
    <font>
      <u/>
      <sz val="12"/>
      <name val="Times New Roman"/>
      <family val="1"/>
    </font>
    <font>
      <b/>
      <i/>
      <sz val="12"/>
      <name val="Times New Roman"/>
      <family val="1"/>
    </font>
    <font>
      <b/>
      <sz val="14"/>
      <name val="Times New Roman"/>
      <family val="1"/>
    </font>
    <font>
      <sz val="12"/>
      <name val=".VnTime"/>
      <family val="2"/>
    </font>
    <font>
      <sz val="12"/>
      <name val=".VnArial Narrow"/>
      <family val="2"/>
    </font>
    <font>
      <sz val="14"/>
      <name val="Times New Roman"/>
      <family val="1"/>
    </font>
    <font>
      <sz val="9"/>
      <color indexed="81"/>
      <name val="Tahoma"/>
      <family val="2"/>
    </font>
    <font>
      <sz val="12"/>
      <name val=".VnTime"/>
      <family val="2"/>
    </font>
    <font>
      <i/>
      <sz val="12"/>
      <name val="Times New Roman"/>
      <family val="1"/>
      <charset val="163"/>
    </font>
    <font>
      <b/>
      <sz val="12"/>
      <name val="Times New Roman"/>
      <family val="1"/>
      <charset val="163"/>
    </font>
    <font>
      <sz val="10"/>
      <name val="Times New Roman"/>
      <family val="1"/>
      <charset val="163"/>
    </font>
    <font>
      <sz val="11"/>
      <name val="Times New Roman"/>
      <family val="1"/>
      <charset val="163"/>
    </font>
    <font>
      <b/>
      <sz val="11"/>
      <name val="Times New Roman"/>
      <family val="1"/>
      <charset val="163"/>
    </font>
    <font>
      <b/>
      <sz val="12"/>
      <name val="Arial"/>
      <family val="2"/>
    </font>
    <font>
      <b/>
      <sz val="10"/>
      <name val="Times New Roman"/>
      <family val="1"/>
    </font>
    <font>
      <sz val="11"/>
      <color indexed="8"/>
      <name val="times new roman"/>
      <family val="2"/>
      <charset val="163"/>
    </font>
    <font>
      <u/>
      <sz val="11"/>
      <color indexed="12"/>
      <name val="times new roman"/>
      <family val="2"/>
      <charset val="163"/>
    </font>
    <font>
      <sz val="12"/>
      <color indexed="8"/>
      <name val="Times New Roman"/>
      <family val="1"/>
    </font>
    <font>
      <b/>
      <sz val="12"/>
      <color indexed="8"/>
      <name val="Times New Roman"/>
      <family val="1"/>
    </font>
    <font>
      <b/>
      <i/>
      <sz val="12"/>
      <color indexed="8"/>
      <name val="Times New Roman"/>
      <family val="1"/>
    </font>
    <font>
      <b/>
      <sz val="11"/>
      <color indexed="8"/>
      <name val="Times New Roman"/>
      <family val="1"/>
    </font>
    <font>
      <b/>
      <sz val="12"/>
      <color indexed="8"/>
      <name val="Times New Roman"/>
      <family val="1"/>
      <charset val="163"/>
    </font>
    <font>
      <b/>
      <sz val="11"/>
      <color indexed="8"/>
      <name val="Times New Roman"/>
      <family val="1"/>
      <charset val="163"/>
    </font>
    <font>
      <sz val="8"/>
      <name val="times new roman"/>
      <family val="2"/>
      <charset val="163"/>
    </font>
    <font>
      <sz val="10"/>
      <color indexed="8"/>
      <name val="Times New Roman"/>
      <family val="1"/>
      <charset val="163"/>
    </font>
    <font>
      <sz val="10"/>
      <color indexed="8"/>
      <name val="MS Sans Serif"/>
      <family val="2"/>
    </font>
    <font>
      <b/>
      <sz val="14"/>
      <name val="Times New Roman"/>
      <family val="1"/>
      <charset val="163"/>
    </font>
    <font>
      <i/>
      <sz val="10"/>
      <name val="Times New Roman"/>
      <family val="1"/>
      <charset val="163"/>
    </font>
    <font>
      <sz val="11"/>
      <color indexed="8"/>
      <name val="Times New Roman"/>
      <family val="1"/>
      <charset val="163"/>
    </font>
    <font>
      <sz val="11"/>
      <color indexed="8"/>
      <name val="Calibri"/>
      <family val="2"/>
      <charset val="163"/>
    </font>
    <font>
      <sz val="9"/>
      <name val="Times New Roman"/>
      <family val="1"/>
    </font>
    <font>
      <sz val="11"/>
      <name val="times new roman"/>
      <family val="2"/>
      <charset val="163"/>
    </font>
    <font>
      <b/>
      <sz val="8"/>
      <name val="Times New Roman"/>
      <family val="1"/>
    </font>
    <font>
      <sz val="12"/>
      <color theme="1"/>
      <name val="Times New Roman"/>
      <family val="2"/>
    </font>
    <font>
      <sz val="11"/>
      <color theme="1"/>
      <name val="Arial"/>
      <family val="2"/>
    </font>
    <font>
      <sz val="10"/>
      <color theme="1"/>
      <name val="Times New Roman"/>
      <family val="1"/>
    </font>
    <font>
      <sz val="12"/>
      <color theme="1"/>
      <name val="Times New Roman"/>
      <family val="1"/>
    </font>
    <font>
      <sz val="11"/>
      <color theme="1"/>
      <name val="Times New Roman"/>
      <family val="1"/>
    </font>
    <font>
      <b/>
      <sz val="10"/>
      <color theme="1"/>
      <name val="Times New Roman"/>
      <family val="1"/>
    </font>
    <font>
      <b/>
      <sz val="12"/>
      <color theme="1"/>
      <name val="Times New Roman"/>
      <family val="1"/>
    </font>
    <font>
      <i/>
      <sz val="12"/>
      <color theme="1"/>
      <name val="Times New Roman"/>
      <family val="1"/>
    </font>
    <font>
      <b/>
      <sz val="14"/>
      <color theme="1"/>
      <name val="Times New Roman"/>
      <family val="1"/>
    </font>
    <font>
      <sz val="11"/>
      <name val="Times New Roman"/>
      <family val="1"/>
    </font>
    <font>
      <sz val="8"/>
      <name val="Times New Roman"/>
      <family val="1"/>
    </font>
    <font>
      <sz val="6"/>
      <name val="Times New Roman"/>
      <family val="1"/>
    </font>
    <font>
      <sz val="10"/>
      <name val="Times New Roman"/>
      <family val="1"/>
    </font>
    <font>
      <b/>
      <sz val="11"/>
      <name val="Times New Roman"/>
      <family val="1"/>
    </font>
    <font>
      <b/>
      <sz val="9"/>
      <name val="Times New Roman"/>
      <family val="1"/>
    </font>
    <font>
      <sz val="7"/>
      <name val="Times New Roman"/>
      <family val="1"/>
    </font>
    <font>
      <i/>
      <sz val="9"/>
      <name val="Times New Roman"/>
      <family val="1"/>
    </font>
    <font>
      <sz val="9"/>
      <color theme="1"/>
      <name val="Times New Roman"/>
      <family val="1"/>
    </font>
    <font>
      <b/>
      <sz val="11"/>
      <color theme="1"/>
      <name val="Times New Roman"/>
      <family val="1"/>
    </font>
    <font>
      <sz val="8"/>
      <color theme="1"/>
      <name val="Times New Roman"/>
      <family val="1"/>
    </font>
    <font>
      <b/>
      <sz val="9"/>
      <color theme="1"/>
      <name val="Times New Roman"/>
      <family val="1"/>
    </font>
    <font>
      <sz val="14"/>
      <color theme="1"/>
      <name val="Times New Roman"/>
      <family val="1"/>
    </font>
    <font>
      <sz val="9"/>
      <name val="times new roman"/>
      <family val="2"/>
      <charset val="163"/>
    </font>
    <font>
      <sz val="10"/>
      <name val="Arial"/>
      <family val="2"/>
    </font>
    <font>
      <b/>
      <sz val="13"/>
      <name val="Times New Roman"/>
      <family val="1"/>
    </font>
    <font>
      <sz val="11"/>
      <color indexed="8"/>
      <name val="Times New Roman"/>
      <family val="1"/>
    </font>
    <font>
      <sz val="11"/>
      <color theme="1"/>
      <name val="Calibri"/>
      <family val="2"/>
      <scheme val="minor"/>
    </font>
    <font>
      <sz val="11"/>
      <color theme="1"/>
      <name val="times new roman"/>
      <family val="2"/>
      <charset val="163"/>
    </font>
    <font>
      <i/>
      <sz val="14"/>
      <color theme="1"/>
      <name val="Times New Roman"/>
      <family val="1"/>
    </font>
    <font>
      <i/>
      <sz val="11"/>
      <name val="Times New Roman"/>
      <family val="1"/>
    </font>
    <font>
      <sz val="6"/>
      <name val="times new roman"/>
      <family val="2"/>
      <charset val="163"/>
    </font>
    <font>
      <i/>
      <sz val="10"/>
      <name val="Times New Roman"/>
      <family val="1"/>
    </font>
    <font>
      <b/>
      <sz val="16"/>
      <name val="Times New Roman"/>
      <family val="1"/>
    </font>
    <font>
      <b/>
      <i/>
      <sz val="14"/>
      <name val="Times New Roman"/>
      <family val="1"/>
    </font>
    <font>
      <sz val="11"/>
      <color theme="1"/>
      <name val="Calibri"/>
      <family val="2"/>
      <charset val="163"/>
      <scheme val="minor"/>
    </font>
    <font>
      <i/>
      <sz val="6"/>
      <name val="Times New Roman"/>
      <family val="1"/>
    </font>
    <font>
      <sz val="12"/>
      <color indexed="8"/>
      <name val="Times New Roman"/>
      <family val="2"/>
    </font>
    <font>
      <u/>
      <sz val="11"/>
      <color theme="10"/>
      <name val="times new roman"/>
      <family val="2"/>
      <charset val="163"/>
    </font>
    <font>
      <sz val="12"/>
      <name val=".VnTime"/>
      <family val="2"/>
    </font>
    <font>
      <sz val="14"/>
      <name val=".VnTime"/>
      <family val="2"/>
    </font>
    <font>
      <i/>
      <sz val="14"/>
      <name val="Times New Roman"/>
      <family val="1"/>
    </font>
    <font>
      <sz val="16"/>
      <name val="Times New Roman"/>
      <family val="1"/>
    </font>
    <font>
      <sz val="14"/>
      <color indexed="8"/>
      <name val="Times New Roman"/>
      <family val="1"/>
    </font>
    <font>
      <b/>
      <sz val="16"/>
      <color theme="1"/>
      <name val="Times New Roman"/>
      <family val="1"/>
    </font>
    <font>
      <sz val="16"/>
      <color theme="1"/>
      <name val="Times New Roman"/>
      <family val="1"/>
    </font>
    <font>
      <sz val="10"/>
      <color rgb="FFFF0000"/>
      <name val="Times New Roman"/>
      <family val="1"/>
    </font>
    <font>
      <sz val="11"/>
      <color rgb="FFFF0000"/>
      <name val="Times New Roman"/>
      <family val="1"/>
    </font>
    <font>
      <b/>
      <sz val="14"/>
      <color theme="1"/>
      <name val="Times New Roman"/>
      <family val="1"/>
      <charset val="163"/>
    </font>
    <font>
      <b/>
      <sz val="12"/>
      <color theme="1"/>
      <name val="Times New Roman"/>
      <family val="1"/>
      <charset val="163"/>
    </font>
    <font>
      <sz val="14"/>
      <color theme="1"/>
      <name val="Times New Roman"/>
      <family val="1"/>
      <charset val="163"/>
    </font>
    <font>
      <b/>
      <i/>
      <sz val="10"/>
      <color theme="1"/>
      <name val="Times New Roman"/>
      <family val="1"/>
    </font>
    <font>
      <i/>
      <sz val="14"/>
      <color theme="1"/>
      <name val="Times New Roman"/>
      <family val="1"/>
      <charset val="163"/>
    </font>
    <font>
      <sz val="12"/>
      <color theme="1"/>
      <name val="Times New Roman"/>
      <family val="1"/>
      <charset val="163"/>
    </font>
    <font>
      <b/>
      <i/>
      <sz val="12"/>
      <color theme="1"/>
      <name val="Times New Roman"/>
      <family val="1"/>
    </font>
    <font>
      <i/>
      <sz val="11"/>
      <color theme="1"/>
      <name val="Times New Roman"/>
      <family val="1"/>
    </font>
    <font>
      <sz val="6"/>
      <color rgb="FFFF0000"/>
      <name val="Times New Roman"/>
      <family val="1"/>
    </font>
    <font>
      <sz val="6"/>
      <color rgb="FFFF0000"/>
      <name val="times new roman"/>
      <family val="2"/>
      <charset val="163"/>
    </font>
    <font>
      <sz val="6"/>
      <color theme="1"/>
      <name val="Times New Roman"/>
      <family val="1"/>
    </font>
    <font>
      <i/>
      <sz val="6"/>
      <name val="times new roman"/>
      <family val="2"/>
      <charset val="163"/>
    </font>
    <font>
      <b/>
      <sz val="8"/>
      <color indexed="8"/>
      <name val="times new roman"/>
      <family val="1"/>
    </font>
    <font>
      <b/>
      <sz val="11"/>
      <color rgb="FFFF0000"/>
      <name val="times new roman"/>
      <family val="2"/>
      <charset val="163"/>
    </font>
    <font>
      <b/>
      <sz val="8"/>
      <color rgb="FFFF0000"/>
      <name val="times new roman"/>
      <family val="2"/>
      <charset val="163"/>
    </font>
    <font>
      <sz val="8"/>
      <color indexed="8"/>
      <name val="Times New Roman"/>
      <family val="1"/>
    </font>
    <font>
      <sz val="6"/>
      <name val="Times New Roman"/>
      <family val="2"/>
    </font>
    <font>
      <b/>
      <sz val="6"/>
      <color indexed="8"/>
      <name val="Times New Roman"/>
      <family val="2"/>
    </font>
    <font>
      <sz val="6"/>
      <color rgb="FFFF0000"/>
      <name val="Times New Roman"/>
      <family val="2"/>
    </font>
    <font>
      <b/>
      <sz val="11"/>
      <name val="times new roman"/>
      <family val="2"/>
      <charset val="163"/>
    </font>
    <font>
      <sz val="6"/>
      <color theme="1"/>
      <name val="Times New Roman"/>
      <family val="2"/>
    </font>
    <font>
      <b/>
      <sz val="6"/>
      <color theme="1"/>
      <name val="times new roman"/>
      <family val="1"/>
    </font>
    <font>
      <sz val="6"/>
      <color indexed="8"/>
      <name val="Times New Roman"/>
      <family val="2"/>
    </font>
    <font>
      <i/>
      <sz val="16"/>
      <color theme="1"/>
      <name val="Times New Roman"/>
      <family val="1"/>
    </font>
    <font>
      <sz val="12"/>
      <name val="Times New Roman"/>
      <family val="1"/>
      <charset val="163"/>
    </font>
    <font>
      <b/>
      <sz val="9"/>
      <color rgb="FFFF0000"/>
      <name val="Times New Roman"/>
      <family val="1"/>
    </font>
    <font>
      <sz val="9"/>
      <color rgb="FFFF0000"/>
      <name val="Times New Roman"/>
      <family val="1"/>
    </font>
    <font>
      <b/>
      <sz val="11"/>
      <color rgb="FFFF0000"/>
      <name val="Times New Roman"/>
      <family val="1"/>
    </font>
    <font>
      <b/>
      <sz val="8"/>
      <color theme="1"/>
      <name val="Times New Roman"/>
      <family val="1"/>
    </font>
    <font>
      <b/>
      <sz val="11"/>
      <color theme="1"/>
      <name val="Times New Roman"/>
      <family val="1"/>
      <charset val="163"/>
    </font>
    <font>
      <b/>
      <sz val="9"/>
      <color theme="1"/>
      <name val="Times New Roman"/>
      <family val="1"/>
      <charset val="163"/>
    </font>
    <font>
      <b/>
      <sz val="20"/>
      <color theme="1"/>
      <name val="Times New Roman"/>
      <family val="1"/>
    </font>
    <font>
      <sz val="12"/>
      <color indexed="8"/>
      <name val="Times New Roman"/>
      <family val="1"/>
      <charset val="163"/>
    </font>
    <font>
      <sz val="11"/>
      <color rgb="FFFF0000"/>
      <name val="Times New Roman"/>
      <family val="1"/>
      <charset val="163"/>
    </font>
    <font>
      <i/>
      <sz val="10"/>
      <color indexed="8"/>
      <name val="Times New Roman"/>
      <family val="1"/>
    </font>
    <font>
      <i/>
      <sz val="10"/>
      <color theme="1"/>
      <name val="Times New Roman"/>
      <family val="1"/>
    </font>
    <font>
      <sz val="11"/>
      <color rgb="FF333333"/>
      <name val="Times New Roman"/>
      <family val="1"/>
    </font>
    <font>
      <b/>
      <sz val="14"/>
      <color indexed="8"/>
      <name val="Times New Roman"/>
      <family val="1"/>
    </font>
    <font>
      <sz val="20"/>
      <name val="Times New Roman"/>
      <family val="1"/>
    </font>
    <font>
      <sz val="13"/>
      <color theme="1"/>
      <name val="Times New Roman"/>
      <family val="1"/>
    </font>
    <font>
      <b/>
      <i/>
      <sz val="11"/>
      <color theme="1"/>
      <name val="Times New Roman"/>
      <family val="1"/>
      <charset val="163"/>
    </font>
    <font>
      <sz val="14"/>
      <color indexed="8"/>
      <name val="Times New Roman"/>
      <family val="1"/>
      <charset val="163"/>
    </font>
    <font>
      <b/>
      <sz val="14"/>
      <color indexed="8"/>
      <name val="Times New Roman"/>
      <family val="1"/>
      <charset val="163"/>
    </font>
    <font>
      <b/>
      <sz val="9.5"/>
      <name val="Times New Roman"/>
      <family val="1"/>
    </font>
    <font>
      <sz val="9.5"/>
      <name val="Times New Roman"/>
      <family val="1"/>
    </font>
    <font>
      <i/>
      <sz val="9.5"/>
      <name val="Times New Roman"/>
      <family val="1"/>
    </font>
    <font>
      <i/>
      <sz val="8"/>
      <name val="Times New Roman"/>
      <family val="1"/>
    </font>
    <font>
      <i/>
      <sz val="11"/>
      <color indexed="8"/>
      <name val="Times New Roman"/>
      <family val="1"/>
    </font>
    <font>
      <i/>
      <sz val="10"/>
      <color theme="1"/>
      <name val="Arial"/>
      <family val="2"/>
      <charset val="163"/>
    </font>
    <font>
      <i/>
      <sz val="6"/>
      <color theme="1"/>
      <name val="Times New Roman"/>
      <family val="1"/>
    </font>
    <font>
      <sz val="7"/>
      <color theme="1"/>
      <name val="Times New Roman"/>
      <family val="1"/>
    </font>
    <font>
      <sz val="5"/>
      <color theme="1"/>
      <name val="Times New Roman"/>
      <family val="1"/>
    </font>
    <font>
      <i/>
      <sz val="8"/>
      <color theme="1"/>
      <name val="Times New Roman"/>
      <family val="1"/>
    </font>
    <font>
      <i/>
      <sz val="9"/>
      <color theme="1"/>
      <name val="Times New Roman"/>
      <family val="1"/>
    </font>
    <font>
      <sz val="10"/>
      <color rgb="FF7030A0"/>
      <name val="Times New Roman"/>
      <family val="1"/>
    </font>
    <font>
      <sz val="11"/>
      <color rgb="FF7030A0"/>
      <name val="Times New Roman"/>
      <family val="1"/>
    </font>
    <font>
      <sz val="8"/>
      <color rgb="FF7030A0"/>
      <name val="Times New Roman"/>
      <family val="1"/>
    </font>
    <font>
      <sz val="7"/>
      <color rgb="FF7030A0"/>
      <name val="Times New Roman"/>
      <family val="1"/>
    </font>
    <font>
      <sz val="11"/>
      <color rgb="FF000000"/>
      <name val="Times New Roman"/>
      <family val="1"/>
    </font>
    <font>
      <b/>
      <sz val="10"/>
      <color indexed="8"/>
      <name val="Times New Roman"/>
      <family val="1"/>
    </font>
    <font>
      <sz val="12"/>
      <name val="Arial"/>
      <family val="2"/>
    </font>
    <font>
      <sz val="12"/>
      <color indexed="8"/>
      <name val="times new roman"/>
      <family val="2"/>
      <charset val="163"/>
    </font>
    <font>
      <i/>
      <sz val="12"/>
      <name val="Arial"/>
      <family val="2"/>
    </font>
    <font>
      <sz val="10"/>
      <color rgb="FFFF0000"/>
      <name val="Times New Roman"/>
      <family val="1"/>
      <charset val="163"/>
    </font>
    <font>
      <b/>
      <sz val="13"/>
      <color theme="1"/>
      <name val="Times New Roman"/>
      <family val="1"/>
      <charset val="163"/>
    </font>
    <font>
      <b/>
      <sz val="13"/>
      <color theme="1"/>
      <name val="Times New Roman"/>
      <family val="1"/>
    </font>
    <font>
      <b/>
      <i/>
      <sz val="9"/>
      <name val="Times New Roman"/>
      <family val="1"/>
    </font>
    <font>
      <sz val="9"/>
      <color indexed="8"/>
      <name val="Times New Roman"/>
      <family val="1"/>
    </font>
    <font>
      <sz val="9"/>
      <color indexed="8"/>
      <name val="times new roman"/>
      <family val="2"/>
      <charset val="163"/>
    </font>
    <font>
      <sz val="9"/>
      <color theme="1"/>
      <name val=".VnArial Narrow"/>
      <family val="2"/>
    </font>
    <font>
      <sz val="9"/>
      <color rgb="FFFF00FF"/>
      <name val="Times New Roman"/>
      <family val="1"/>
    </font>
    <font>
      <sz val="10"/>
      <name val="Arial"/>
      <family val="2"/>
    </font>
    <font>
      <sz val="10"/>
      <name val="Ms sans serif"/>
      <family val="2"/>
    </font>
    <font>
      <sz val="14"/>
      <name val="뼻뮝"/>
      <family val="3"/>
    </font>
    <font>
      <sz val="12"/>
      <name val="뼻뮝"/>
      <family val="3"/>
    </font>
    <font>
      <sz val="8"/>
      <name val="Arial"/>
      <family val="2"/>
    </font>
    <font>
      <sz val="13"/>
      <name val=".VnTime"/>
      <family val="2"/>
    </font>
    <font>
      <sz val="8"/>
      <name val=".VnTime"/>
      <family val="2"/>
    </font>
    <font>
      <sz val="12"/>
      <name val=".VnArial"/>
      <family val="2"/>
    </font>
    <font>
      <sz val="10"/>
      <color indexed="8"/>
      <name val="Arial"/>
      <family val="2"/>
    </font>
    <font>
      <b/>
      <u/>
      <sz val="14"/>
      <color indexed="8"/>
      <name val=".VnBook-AntiquaH"/>
      <family val="2"/>
    </font>
    <font>
      <i/>
      <sz val="12"/>
      <color indexed="8"/>
      <name val=".VnBook-AntiquaH"/>
      <family val="2"/>
    </font>
    <font>
      <b/>
      <sz val="12"/>
      <color indexed="8"/>
      <name val=".VnBook-Antiqua"/>
      <family val="2"/>
    </font>
    <font>
      <i/>
      <sz val="12"/>
      <color indexed="8"/>
      <name val=".VnBook-Antiqua"/>
      <family val="2"/>
    </font>
    <font>
      <sz val="12"/>
      <name val="±¼¸²Ã¼"/>
      <family val="3"/>
      <charset val="129"/>
    </font>
    <font>
      <sz val="12"/>
      <name val="¹UAAA¼"/>
      <family val="3"/>
      <charset val="129"/>
    </font>
    <font>
      <sz val="12"/>
      <name val="Tms Rmn"/>
    </font>
    <font>
      <sz val="11"/>
      <name val="µ¸¿ò"/>
      <charset val="129"/>
    </font>
    <font>
      <b/>
      <sz val="10"/>
      <name val="Helv"/>
    </font>
    <font>
      <sz val="11"/>
      <name val="Tms Rmn"/>
    </font>
    <font>
      <sz val="10"/>
      <name val="MS Serif"/>
      <family val="1"/>
    </font>
    <font>
      <sz val="10"/>
      <color indexed="16"/>
      <name val="MS Serif"/>
      <family val="1"/>
    </font>
    <font>
      <b/>
      <sz val="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4"/>
      <color indexed="14"/>
      <name val="VNottawa"/>
      <family val="2"/>
    </font>
    <font>
      <b/>
      <sz val="16"/>
      <name val="VNottawa"/>
      <family val="2"/>
    </font>
    <font>
      <b/>
      <sz val="12"/>
      <color indexed="9"/>
      <name val="Tms Rmn"/>
    </font>
    <font>
      <b/>
      <sz val="12"/>
      <name val="Helv"/>
    </font>
    <font>
      <b/>
      <sz val="18"/>
      <name val="Arial"/>
      <family val="2"/>
    </font>
    <font>
      <b/>
      <sz val="8"/>
      <name val="MS Sans Serif"/>
      <family val="2"/>
    </font>
    <font>
      <sz val="8"/>
      <name val="VNarial"/>
      <family val="2"/>
    </font>
    <font>
      <b/>
      <sz val="11"/>
      <name val="Helv"/>
    </font>
    <font>
      <sz val="7"/>
      <name val="Small Fonts"/>
      <family val="2"/>
    </font>
    <font>
      <sz val="10"/>
      <name val="VNtimes new roman"/>
      <family val="2"/>
    </font>
    <font>
      <sz val="8"/>
      <name val="Wingdings"/>
      <charset val="2"/>
    </font>
    <font>
      <sz val="8"/>
      <name val="Helv"/>
    </font>
    <font>
      <sz val="8"/>
      <name val="MS Sans Serif"/>
      <family val="2"/>
    </font>
    <font>
      <b/>
      <sz val="8"/>
      <color indexed="8"/>
      <name val="Helv"/>
    </font>
    <font>
      <sz val="10"/>
      <name val="VNI-Times"/>
    </font>
    <font>
      <sz val="9"/>
      <name val="Arial"/>
      <family val="2"/>
    </font>
    <font>
      <sz val="12"/>
      <name val="Courier"/>
      <family val="3"/>
    </font>
    <font>
      <sz val="10"/>
      <name val=" "/>
      <family val="1"/>
      <charset val="136"/>
    </font>
    <font>
      <b/>
      <sz val="12"/>
      <color indexed="8"/>
      <name val="Arial"/>
      <family val="2"/>
    </font>
    <font>
      <sz val="12"/>
      <color indexed="8"/>
      <name val="Arial"/>
      <family val="2"/>
    </font>
    <font>
      <sz val="12"/>
      <name val="돋움체"/>
      <family val="3"/>
      <charset val="129"/>
    </font>
    <font>
      <b/>
      <sz val="10"/>
      <name val="SVNtimes new roman"/>
      <family val="2"/>
    </font>
    <font>
      <sz val="12"/>
      <name val="VNtimes new roman"/>
      <family val="2"/>
    </font>
    <font>
      <sz val="10"/>
      <name val="?? ??"/>
      <family val="1"/>
      <charset val="136"/>
    </font>
    <font>
      <sz val="10"/>
      <name val="??"/>
      <family val="3"/>
      <charset val="129"/>
    </font>
    <font>
      <sz val="12"/>
      <name val="????"/>
      <family val="1"/>
      <charset val="136"/>
    </font>
    <font>
      <sz val="12"/>
      <name val="|??¢¥¢¬¨Ï"/>
      <family val="1"/>
      <charset val="129"/>
    </font>
    <font>
      <sz val="11"/>
      <name val="–¾’©"/>
      <family val="1"/>
      <charset val="128"/>
    </font>
    <font>
      <sz val="14"/>
      <name val="VnTime"/>
    </font>
    <font>
      <sz val="11"/>
      <name val=".VnTime"/>
      <family val="2"/>
    </font>
    <font>
      <sz val="10"/>
      <name val=".VnTime"/>
      <family val="2"/>
    </font>
    <font>
      <sz val="11"/>
      <color indexed="10"/>
      <name val="Arial"/>
      <family val="2"/>
    </font>
    <font>
      <sz val="10"/>
      <name val="Helv"/>
    </font>
    <font>
      <b/>
      <sz val="8"/>
      <color indexed="12"/>
      <name val="Arial"/>
      <family val="2"/>
    </font>
    <font>
      <sz val="8"/>
      <color indexed="8"/>
      <name val="Arial"/>
      <family val="2"/>
    </font>
    <font>
      <sz val="8"/>
      <name val="SVNtimes new roman"/>
      <family val="2"/>
    </font>
    <font>
      <sz val="10"/>
      <name val="VNI-Aptima"/>
    </font>
    <font>
      <sz val="11"/>
      <name val="VNcentury Gothic"/>
      <family val="2"/>
    </font>
    <font>
      <b/>
      <sz val="15"/>
      <name val="VNcentury Gothic"/>
      <family val="2"/>
    </font>
    <font>
      <sz val="12"/>
      <name val="SVNtimes new roman"/>
      <family val="2"/>
    </font>
    <font>
      <sz val="10"/>
      <name val="SVNtimes new roman"/>
      <family val="2"/>
    </font>
    <font>
      <sz val="10"/>
      <name val="Arial CE"/>
      <charset val="238"/>
    </font>
    <font>
      <sz val="10"/>
      <name val="VNI-Helve-Condense"/>
    </font>
    <font>
      <sz val="10"/>
      <name val=".VnArialH"/>
      <family val="2"/>
    </font>
    <font>
      <b/>
      <sz val="12"/>
      <name val=".VnBook-AntiquaH"/>
      <family val="2"/>
    </font>
    <font>
      <b/>
      <sz val="10"/>
      <name val=".VnTime"/>
      <family val="2"/>
    </font>
    <font>
      <b/>
      <sz val="14"/>
      <name val=".VnTimeH"/>
      <family val="2"/>
    </font>
    <font>
      <b/>
      <sz val="12"/>
      <name val="VN-NTime"/>
    </font>
    <font>
      <sz val="12"/>
      <name val="바탕체"/>
      <family val="1"/>
      <charset val="129"/>
    </font>
    <font>
      <b/>
      <sz val="11"/>
      <name val="Arial"/>
      <family val="2"/>
    </font>
    <font>
      <sz val="12"/>
      <name val="Helv"/>
      <family val="2"/>
    </font>
    <font>
      <b/>
      <sz val="10"/>
      <name val="MS Sans Serif"/>
      <family val="2"/>
    </font>
    <font>
      <b/>
      <sz val="10"/>
      <color indexed="18"/>
      <name val="VNarial"/>
      <family val="2"/>
    </font>
    <font>
      <b/>
      <i/>
      <sz val="12"/>
      <color indexed="8"/>
      <name val="Arial"/>
      <family val="2"/>
    </font>
    <font>
      <i/>
      <sz val="12"/>
      <color indexed="8"/>
      <name val="Arial"/>
      <family val="2"/>
    </font>
    <font>
      <sz val="19"/>
      <color indexed="48"/>
      <name val="Arial"/>
      <family val="2"/>
    </font>
    <font>
      <sz val="12"/>
      <color indexed="14"/>
      <name val="Arial"/>
      <family val="2"/>
    </font>
    <font>
      <b/>
      <sz val="10.5"/>
      <name val=".VnAvantH"/>
      <family val="2"/>
    </font>
    <font>
      <sz val="13"/>
      <name val=".VnArial"/>
      <family val="2"/>
    </font>
    <font>
      <sz val="12"/>
      <name val="VNTime"/>
    </font>
    <font>
      <sz val="10"/>
      <name val=".VnArial"/>
      <family val="2"/>
    </font>
    <font>
      <sz val="11"/>
      <name val=".VnAvant"/>
      <family val="2"/>
    </font>
    <font>
      <sz val="9.5"/>
      <name val=".VnBlackH"/>
      <family val="2"/>
    </font>
    <font>
      <b/>
      <sz val="10"/>
      <name val=".VnBahamasBH"/>
      <family val="2"/>
    </font>
    <font>
      <b/>
      <sz val="11"/>
      <name val=".VnArialH"/>
      <family val="2"/>
    </font>
    <font>
      <b/>
      <sz val="10"/>
      <name val=".VnArialH"/>
      <family val="2"/>
    </font>
    <font>
      <sz val="10"/>
      <name val=".VnArial Narrow"/>
      <family val="2"/>
    </font>
    <font>
      <sz val="14"/>
      <name val="VnTime"/>
      <family val="2"/>
    </font>
    <font>
      <b/>
      <sz val="8"/>
      <name val="VN Helvetica"/>
    </font>
    <font>
      <b/>
      <sz val="12"/>
      <name val=".vntime"/>
      <family val="2"/>
    </font>
    <font>
      <b/>
      <sz val="10"/>
      <name val="VN AvantGBook"/>
    </font>
    <font>
      <b/>
      <sz val="16"/>
      <name val=".VnTime"/>
      <family val="2"/>
    </font>
    <font>
      <sz val="10"/>
      <name val="VNlucida sans"/>
      <family val="2"/>
    </font>
    <font>
      <sz val="9"/>
      <name val=".VnTime"/>
      <family val="2"/>
    </font>
    <font>
      <b/>
      <i/>
      <sz val="12"/>
      <name val=".vntime"/>
      <family val="2"/>
    </font>
    <font>
      <sz val="14"/>
      <name val=".VnArial"/>
      <family val="2"/>
    </font>
    <font>
      <sz val="10"/>
      <name val="명조"/>
      <family val="3"/>
      <charset val="129"/>
    </font>
    <font>
      <sz val="10"/>
      <name val="Helv"/>
      <family val="2"/>
    </font>
    <font>
      <sz val="10"/>
      <name val="돋움체"/>
      <family val="3"/>
      <charset val="129"/>
    </font>
    <font>
      <sz val="13"/>
      <name val="Times New Roman"/>
      <family val="1"/>
    </font>
    <font>
      <sz val="10"/>
      <name val="Arial"/>
      <family val="2"/>
      <charset val="163"/>
    </font>
    <font>
      <sz val="11"/>
      <name val="‚l‚r ‚oƒSƒVƒbƒN"/>
      <family val="3"/>
      <charset val="128"/>
    </font>
    <font>
      <sz val="11"/>
      <name val="VNtimes New Roman"/>
      <family val="2"/>
    </font>
    <font>
      <sz val="12"/>
      <name val="¹ÙÅÁÃ¼"/>
      <charset val="129"/>
    </font>
    <font>
      <sz val="12"/>
      <name val="System"/>
      <family val="1"/>
      <charset val="129"/>
    </font>
    <font>
      <sz val="11"/>
      <name val="µ¸¿ò"/>
      <family val="1"/>
    </font>
    <font>
      <sz val="10"/>
      <name val="VNI-Helve"/>
    </font>
    <font>
      <b/>
      <i/>
      <sz val="12"/>
      <name val=".VnAristote"/>
      <family val="2"/>
    </font>
    <font>
      <sz val="11"/>
      <color indexed="32"/>
      <name val="VNI-Times"/>
    </font>
    <font>
      <sz val="10"/>
      <name val=".VNavant"/>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Times New Roman"/>
      <family val="1"/>
      <charset val="163"/>
    </font>
    <font>
      <sz val="13"/>
      <name val="Times New Roman"/>
      <family val="1"/>
      <charset val="163"/>
    </font>
    <font>
      <sz val="14"/>
      <color indexed="8"/>
      <name val="Times New Roman"/>
      <family val="2"/>
      <charset val="163"/>
    </font>
    <font>
      <i/>
      <sz val="10"/>
      <name val=".VnTime"/>
      <family val="2"/>
    </font>
    <font>
      <sz val="10"/>
      <name val="AngsanaUPC"/>
      <family val="1"/>
    </font>
    <font>
      <b/>
      <sz val="10"/>
      <name val=".VnArial"/>
      <family val="2"/>
    </font>
    <font>
      <sz val="14"/>
      <name val=".VnTimeH"/>
      <family val="2"/>
    </font>
    <font>
      <sz val="10"/>
      <name val="SVNtimes new roman"/>
    </font>
    <font>
      <b/>
      <i/>
      <sz val="12"/>
      <name val=".VnAristote"/>
      <family val="2"/>
    </font>
    <font>
      <b/>
      <i/>
      <sz val="16"/>
      <name val="Helv"/>
    </font>
    <font>
      <sz val="14"/>
      <name val=".VnArial Narrow"/>
      <family val="2"/>
    </font>
    <font>
      <b/>
      <sz val="8"/>
      <color indexed="8"/>
      <name val="Helv"/>
      <family val="2"/>
    </font>
    <font>
      <b/>
      <u val="double"/>
      <sz val="12"/>
      <color indexed="12"/>
      <name val=".VnBahamasB"/>
      <family val="2"/>
    </font>
    <font>
      <b/>
      <sz val="10"/>
      <name val=".VnTimeH"/>
      <family val="2"/>
    </font>
    <font>
      <b/>
      <sz val="11"/>
      <name val=".VnTimeH"/>
      <family val="2"/>
    </font>
    <font>
      <sz val="10"/>
      <name val="Geneva"/>
      <family val="2"/>
    </font>
    <font>
      <sz val="12"/>
      <color indexed="8"/>
      <name val="바탕체"/>
      <family val="3"/>
    </font>
    <font>
      <sz val="12"/>
      <name val="VNI-Times"/>
    </font>
    <font>
      <sz val="11"/>
      <name val="VNI-Aptima"/>
    </font>
    <font>
      <sz val="10"/>
      <color indexed="8"/>
      <name val="Arial"/>
      <family val="2"/>
      <charset val="163"/>
    </font>
    <font>
      <sz val="12"/>
      <name val="???"/>
    </font>
    <font>
      <b/>
      <u/>
      <sz val="10"/>
      <name val="VNI-Times"/>
    </font>
    <font>
      <sz val="12"/>
      <color indexed="10"/>
      <name val=".VnArial Narrow"/>
      <family val="2"/>
    </font>
    <font>
      <sz val="12"/>
      <color indexed="8"/>
      <name val="¹ÙÅÁÃ¼"/>
      <family val="1"/>
      <charset val="129"/>
    </font>
    <font>
      <sz val="14"/>
      <name val="VNI-Times"/>
    </font>
    <font>
      <sz val="11"/>
      <name val="VNI-Times"/>
    </font>
    <font>
      <b/>
      <sz val="12"/>
      <color indexed="63"/>
      <name val="VNI-Times"/>
    </font>
    <font>
      <sz val="12"/>
      <name val="¹ÙÅÁÃ¼"/>
      <family val="1"/>
      <charset val="129"/>
    </font>
    <font>
      <sz val="13"/>
      <color indexed="8"/>
      <name val="Times New Roman"/>
      <family val="2"/>
    </font>
    <font>
      <sz val="14"/>
      <color indexed="8"/>
      <name val="Times New Roman"/>
      <family val="2"/>
    </font>
    <font>
      <b/>
      <sz val="12"/>
      <name val="VNTime"/>
      <family val="2"/>
    </font>
    <font>
      <b/>
      <sz val="12"/>
      <name val="VNTimeH"/>
      <family val="2"/>
    </font>
    <font>
      <sz val="12"/>
      <name val="VNTime"/>
      <family val="2"/>
    </font>
    <font>
      <b/>
      <sz val="18"/>
      <name val="Arial"/>
      <family val="2"/>
      <charset val="163"/>
    </font>
    <font>
      <b/>
      <sz val="12"/>
      <name val="Arial"/>
      <family val="2"/>
      <charset val="163"/>
    </font>
    <font>
      <u/>
      <sz val="10"/>
      <color indexed="12"/>
      <name val=".VnTime"/>
      <family val="2"/>
    </font>
    <font>
      <u/>
      <sz val="12"/>
      <color indexed="12"/>
      <name val=".VnTime"/>
      <family val="2"/>
    </font>
    <font>
      <u/>
      <sz val="12"/>
      <color indexed="12"/>
      <name val="Arial"/>
      <family val="2"/>
    </font>
    <font>
      <sz val="13"/>
      <name val="Arial"/>
      <family val="2"/>
      <charset val="163"/>
    </font>
    <font>
      <sz val="11"/>
      <color indexed="8"/>
      <name val="Helvetica Neue"/>
    </font>
    <font>
      <sz val="11"/>
      <name val="3C_Times_T"/>
    </font>
    <font>
      <u/>
      <sz val="10"/>
      <color indexed="12"/>
      <name val="Arial"/>
      <family val="2"/>
    </font>
    <font>
      <sz val="8"/>
      <name val="Tms Rmn"/>
    </font>
    <font>
      <sz val="10"/>
      <name val="VNbook-Antiqua"/>
    </font>
    <font>
      <sz val="10"/>
      <name val="Symbol"/>
      <family val="1"/>
      <charset val="2"/>
    </font>
    <font>
      <b/>
      <sz val="10"/>
      <name val="VNI-Univer"/>
    </font>
    <font>
      <sz val="10"/>
      <name val=".VnBook-Antiqua"/>
      <family val="2"/>
    </font>
    <font>
      <b/>
      <i/>
      <u/>
      <sz val="12"/>
      <name val=".VnTimeH"/>
      <family val="2"/>
    </font>
    <font>
      <b/>
      <sz val="12"/>
      <name val="VNI-Times"/>
    </font>
    <font>
      <b/>
      <sz val="13"/>
      <color indexed="8"/>
      <name val=".VnTimeH"/>
      <family val="2"/>
    </font>
    <font>
      <sz val="16"/>
      <name val="AngsanaUPC"/>
      <family val="3"/>
    </font>
    <font>
      <sz val="11"/>
      <color indexed="8"/>
      <name val="Arial"/>
      <family val="2"/>
    </font>
    <font>
      <sz val="8"/>
      <color indexed="12"/>
      <name val="Helv"/>
    </font>
    <font>
      <sz val="11"/>
      <name val="??"/>
      <family val="3"/>
    </font>
    <font>
      <sz val="10"/>
      <name val="VNtimes new roman"/>
      <family val="1"/>
    </font>
    <font>
      <b/>
      <sz val="15"/>
      <color indexed="54"/>
      <name val="Calibri"/>
      <family val="2"/>
    </font>
    <font>
      <b/>
      <sz val="13"/>
      <color indexed="54"/>
      <name val="Calibri"/>
      <family val="2"/>
    </font>
    <font>
      <b/>
      <sz val="11"/>
      <color indexed="54"/>
      <name val="Calibri"/>
      <family val="2"/>
    </font>
    <font>
      <sz val="18"/>
      <color indexed="54"/>
      <name val="Calibri Light"/>
      <family val="2"/>
    </font>
    <font>
      <b/>
      <i/>
      <sz val="10"/>
      <color indexed="8"/>
      <name val="Times New Roman"/>
      <family val="1"/>
    </font>
    <font>
      <b/>
      <sz val="6"/>
      <color indexed="8"/>
      <name val="Times New Roman"/>
      <family val="1"/>
    </font>
    <font>
      <sz val="6"/>
      <color indexed="8"/>
      <name val="Times New Roman"/>
      <family val="1"/>
    </font>
    <font>
      <sz val="11"/>
      <color theme="1"/>
      <name val="Calibri"/>
      <family val="2"/>
    </font>
    <font>
      <sz val="14"/>
      <color theme="1"/>
      <name val="Times New Roman"/>
      <family val="2"/>
    </font>
    <font>
      <sz val="10"/>
      <color theme="1"/>
      <name val="times new roman"/>
      <family val="2"/>
      <charset val="163"/>
    </font>
    <font>
      <sz val="11"/>
      <color theme="1"/>
      <name val="Arial"/>
      <family val="2"/>
      <charset val="163"/>
    </font>
    <font>
      <i/>
      <sz val="11"/>
      <color rgb="FF7030A0"/>
      <name val="Times New Roman"/>
      <family val="1"/>
    </font>
    <font>
      <sz val="9"/>
      <color theme="1"/>
      <name val="Arial"/>
      <family val="2"/>
    </font>
    <font>
      <b/>
      <sz val="9.5"/>
      <color indexed="8"/>
      <name val="Times New Roman"/>
      <family val="1"/>
    </font>
    <font>
      <sz val="9.5"/>
      <color indexed="8"/>
      <name val="Times New Roman"/>
      <family val="1"/>
    </font>
    <font>
      <sz val="9"/>
      <color indexed="81"/>
      <name val="Segoe UI"/>
      <family val="2"/>
    </font>
    <font>
      <b/>
      <sz val="9"/>
      <color indexed="81"/>
      <name val="Segoe UI"/>
      <family val="2"/>
    </font>
    <font>
      <i/>
      <sz val="9"/>
      <color indexed="8"/>
      <name val="times new roman"/>
      <family val="1"/>
    </font>
    <font>
      <sz val="10"/>
      <color indexed="8"/>
      <name val="Times New Roman"/>
      <family val="1"/>
    </font>
    <font>
      <i/>
      <sz val="13"/>
      <color indexed="8"/>
      <name val="Times New Roman"/>
      <family val="1"/>
    </font>
    <font>
      <i/>
      <sz val="13"/>
      <color theme="1"/>
      <name val="Times New Roman"/>
      <family val="1"/>
    </font>
    <font>
      <i/>
      <sz val="13"/>
      <name val="Times New Roman"/>
      <family val="1"/>
    </font>
    <font>
      <b/>
      <sz val="9"/>
      <color indexed="8"/>
      <name val="Times New Roman"/>
      <family val="1"/>
    </font>
    <font>
      <b/>
      <i/>
      <sz val="9"/>
      <color indexed="8"/>
      <name val="Times New Roman"/>
      <family val="1"/>
    </font>
    <font>
      <i/>
      <sz val="9"/>
      <color rgb="FFFF0000"/>
      <name val="Times New Roman"/>
      <family val="1"/>
    </font>
    <font>
      <sz val="9"/>
      <color theme="3" tint="0.39997558519241921"/>
      <name val="Times New Roman"/>
      <family val="1"/>
    </font>
  </fonts>
  <fills count="59">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0070C0"/>
        <bgColor indexed="64"/>
      </patternFill>
    </fill>
    <fill>
      <patternFill patternType="solid">
        <fgColor rgb="FF7030A0"/>
        <bgColor indexed="64"/>
      </patternFill>
    </fill>
    <fill>
      <patternFill patternType="solid">
        <fgColor rgb="FF92D05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27"/>
      </patternFill>
    </fill>
    <fill>
      <patternFill patternType="solid">
        <fgColor indexed="45"/>
      </patternFill>
    </fill>
    <fill>
      <patternFill patternType="solid">
        <fgColor indexed="47"/>
      </patternFill>
    </fill>
    <fill>
      <patternFill patternType="solid">
        <fgColor indexed="42"/>
      </patternFill>
    </fill>
    <fill>
      <patternFill patternType="solid">
        <fgColor indexed="9"/>
      </patternFill>
    </fill>
    <fill>
      <patternFill patternType="solid">
        <fgColor indexed="46"/>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22"/>
      </patternFill>
    </fill>
    <fill>
      <patternFill patternType="solid">
        <fgColor indexed="43"/>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7"/>
      </patternFill>
    </fill>
    <fill>
      <patternFill patternType="solid">
        <fgColor indexed="62"/>
      </patternFill>
    </fill>
    <fill>
      <patternFill patternType="solid">
        <fgColor indexed="10"/>
      </patternFill>
    </fill>
    <fill>
      <patternFill patternType="solid">
        <fgColor indexed="53"/>
      </patternFill>
    </fill>
    <fill>
      <patternFill patternType="solid">
        <fgColor indexed="55"/>
      </patternFill>
    </fill>
    <fill>
      <patternFill patternType="solid">
        <fgColor indexed="65"/>
        <bgColor indexed="64"/>
      </patternFill>
    </fill>
    <fill>
      <patternFill patternType="solid">
        <fgColor indexed="40"/>
        <bgColor indexed="64"/>
      </patternFill>
    </fill>
    <fill>
      <patternFill patternType="solid">
        <fgColor indexed="26"/>
        <bgColor indexed="64"/>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s>
  <borders count="7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ck">
        <color indexed="64"/>
      </left>
      <right/>
      <top style="thick">
        <color indexed="64"/>
      </top>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bottom style="medium">
        <color indexed="64"/>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style="medium">
        <color indexed="64"/>
      </right>
      <top style="medium">
        <color indexed="64"/>
      </top>
      <bottom style="thin">
        <color indexed="64"/>
      </bottom>
      <diagonal/>
    </border>
    <border>
      <left/>
      <right style="medium">
        <color indexed="0"/>
      </right>
      <top/>
      <bottom/>
      <diagonal/>
    </border>
    <border>
      <left style="double">
        <color indexed="64"/>
      </left>
      <right style="thin">
        <color indexed="64"/>
      </right>
      <top style="double">
        <color indexed="64"/>
      </top>
      <bottom/>
      <diagonal/>
    </border>
    <border>
      <left/>
      <right/>
      <top style="thin">
        <color indexed="62"/>
      </top>
      <bottom style="double">
        <color indexed="62"/>
      </bottom>
      <diagonal/>
    </border>
    <border>
      <left style="double">
        <color indexed="64"/>
      </left>
      <right style="thin">
        <color indexed="64"/>
      </right>
      <top style="hair">
        <color indexed="64"/>
      </top>
      <bottom style="double">
        <color indexed="64"/>
      </bottom>
      <diagonal/>
    </border>
    <border>
      <left/>
      <right/>
      <top style="thin">
        <color indexed="49"/>
      </top>
      <bottom style="double">
        <color indexed="49"/>
      </bottom>
      <diagonal/>
    </border>
    <border>
      <left/>
      <right/>
      <top style="thin">
        <color indexed="64"/>
      </top>
      <bottom style="double">
        <color indexed="64"/>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2290">
    <xf numFmtId="0" fontId="0" fillId="0" borderId="0"/>
    <xf numFmtId="0" fontId="37" fillId="0" borderId="0"/>
    <xf numFmtId="43" fontId="23" fillId="0" borderId="0" applyFont="0" applyFill="0" applyBorder="0" applyAlignment="0" applyProtection="0"/>
    <xf numFmtId="0" fontId="21" fillId="0" borderId="1" applyNumberFormat="0" applyAlignment="0" applyProtection="0">
      <alignment horizontal="left" vertical="center"/>
    </xf>
    <xf numFmtId="0" fontId="21" fillId="0" borderId="2">
      <alignment horizontal="left" vertical="center"/>
    </xf>
    <xf numFmtId="0" fontId="12" fillId="0" borderId="0"/>
    <xf numFmtId="0" fontId="42" fillId="0" borderId="0"/>
    <xf numFmtId="0" fontId="11" fillId="0" borderId="0"/>
    <xf numFmtId="0" fontId="15" fillId="0" borderId="0"/>
    <xf numFmtId="0" fontId="41" fillId="0" borderId="0"/>
    <xf numFmtId="0" fontId="24" fillId="0" borderId="0" applyNumberFormat="0" applyFill="0" applyBorder="0" applyAlignment="0" applyProtection="0"/>
    <xf numFmtId="41" fontId="7" fillId="0" borderId="0" applyFont="0" applyFill="0" applyBorder="0" applyAlignment="0" applyProtection="0"/>
    <xf numFmtId="0" fontId="67" fillId="0" borderId="0"/>
    <xf numFmtId="0" fontId="64" fillId="0" borderId="0">
      <alignment wrapText="1"/>
    </xf>
    <xf numFmtId="0" fontId="64" fillId="0" borderId="0"/>
    <xf numFmtId="0" fontId="64" fillId="0" borderId="0"/>
    <xf numFmtId="43" fontId="2" fillId="0" borderId="0" applyFont="0" applyFill="0" applyBorder="0" applyAlignment="0" applyProtection="0"/>
    <xf numFmtId="0" fontId="75" fillId="0" borderId="0"/>
    <xf numFmtId="0" fontId="11" fillId="0" borderId="0"/>
    <xf numFmtId="0" fontId="11" fillId="0" borderId="0"/>
    <xf numFmtId="165" fontId="2" fillId="0" borderId="0" applyFont="0" applyFill="0" applyBorder="0" applyAlignment="0" applyProtection="0"/>
    <xf numFmtId="0" fontId="7" fillId="0" borderId="0"/>
    <xf numFmtId="41" fontId="7" fillId="0" borderId="0" applyFont="0" applyFill="0" applyBorder="0" applyAlignment="0" applyProtection="0"/>
    <xf numFmtId="41" fontId="23" fillId="0" borderId="0" applyFont="0" applyFill="0" applyBorder="0" applyAlignment="0" applyProtection="0"/>
    <xf numFmtId="43" fontId="7" fillId="0" borderId="0" applyFont="0" applyFill="0" applyBorder="0" applyAlignment="0" applyProtection="0"/>
    <xf numFmtId="43" fontId="77"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1" fontId="7" fillId="0" borderId="0" applyFont="0" applyFill="0" applyBorder="0" applyAlignment="0" applyProtection="0"/>
    <xf numFmtId="0" fontId="78" fillId="0" borderId="0" applyNumberFormat="0" applyFill="0" applyBorder="0" applyAlignment="0" applyProtection="0"/>
    <xf numFmtId="0" fontId="33" fillId="0" borderId="0"/>
    <xf numFmtId="0" fontId="7" fillId="0" borderId="0"/>
    <xf numFmtId="0" fontId="77" fillId="0" borderId="0"/>
    <xf numFmtId="0" fontId="11" fillId="0" borderId="0"/>
    <xf numFmtId="0" fontId="1" fillId="0" borderId="0"/>
    <xf numFmtId="0" fontId="68" fillId="0" borderId="0"/>
    <xf numFmtId="43" fontId="79" fillId="0" borderId="0" applyFont="0" applyFill="0" applyBorder="0" applyAlignment="0" applyProtection="0"/>
    <xf numFmtId="0" fontId="80" fillId="0" borderId="0"/>
    <xf numFmtId="0" fontId="64" fillId="0" borderId="0"/>
    <xf numFmtId="0" fontId="1" fillId="0" borderId="0"/>
    <xf numFmtId="0" fontId="1" fillId="0" borderId="0"/>
    <xf numFmtId="0" fontId="33" fillId="0" borderId="0"/>
    <xf numFmtId="0" fontId="64" fillId="0" borderId="0"/>
    <xf numFmtId="0" fontId="67" fillId="0" borderId="0"/>
    <xf numFmtId="43" fontId="11" fillId="0" borderId="0" applyFont="0" applyFill="0" applyBorder="0" applyAlignment="0" applyProtection="0"/>
    <xf numFmtId="0" fontId="64" fillId="0" borderId="0"/>
    <xf numFmtId="0" fontId="12" fillId="0" borderId="0"/>
    <xf numFmtId="0" fontId="159" fillId="0" borderId="0"/>
    <xf numFmtId="281" fontId="309"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33" fillId="0" borderId="0"/>
    <xf numFmtId="0" fontId="265" fillId="0" borderId="0"/>
    <xf numFmtId="3" fontId="205" fillId="0" borderId="21"/>
    <xf numFmtId="223" fontId="206" fillId="0" borderId="31">
      <alignment horizontal="center"/>
      <protection hidden="1"/>
    </xf>
    <xf numFmtId="167" fontId="207" fillId="0" borderId="32" applyFont="0" applyBorder="0"/>
    <xf numFmtId="167" fontId="207" fillId="0" borderId="32" applyFont="0" applyBorder="0"/>
    <xf numFmtId="167" fontId="207" fillId="0" borderId="32" applyFont="0" applyBorder="0"/>
    <xf numFmtId="0" fontId="215" fillId="0" borderId="0"/>
    <xf numFmtId="0" fontId="64" fillId="0" borderId="0"/>
    <xf numFmtId="0" fontId="208" fillId="0" borderId="0" applyFont="0" applyFill="0" applyBorder="0" applyAlignment="0" applyProtection="0"/>
    <xf numFmtId="205" fontId="64" fillId="0" borderId="0" applyFont="0" applyFill="0" applyBorder="0" applyAlignment="0" applyProtection="0"/>
    <xf numFmtId="323" fontId="345" fillId="0" borderId="0" applyFont="0" applyFill="0" applyBorder="0" applyAlignment="0" applyProtection="0"/>
    <xf numFmtId="199" fontId="345" fillId="0" borderId="0" applyFont="0" applyFill="0" applyBorder="0" applyAlignment="0" applyProtection="0"/>
    <xf numFmtId="261" fontId="64" fillId="0" borderId="0" applyFont="0" applyFill="0" applyBorder="0" applyAlignment="0" applyProtection="0"/>
    <xf numFmtId="261" fontId="64" fillId="0" borderId="0" applyFont="0" applyFill="0" applyBorder="0" applyAlignment="0" applyProtection="0"/>
    <xf numFmtId="0" fontId="64" fillId="0" borderId="0" applyNumberFormat="0" applyFill="0" applyBorder="0" applyAlignment="0" applyProtection="0"/>
    <xf numFmtId="0" fontId="166" fillId="0" borderId="0" applyFont="0" applyFill="0" applyBorder="0" applyAlignment="0" applyProtection="0"/>
    <xf numFmtId="0" fontId="209" fillId="0" borderId="33"/>
    <xf numFmtId="262" fontId="215" fillId="0" borderId="0" applyFont="0" applyFill="0" applyBorder="0" applyAlignment="0" applyProtection="0"/>
    <xf numFmtId="195" fontId="210" fillId="0" borderId="0" applyFont="0" applyFill="0" applyBorder="0" applyAlignment="0" applyProtection="0"/>
    <xf numFmtId="196" fontId="210" fillId="0" borderId="0" applyFont="0" applyFill="0" applyBorder="0" applyAlignment="0" applyProtection="0"/>
    <xf numFmtId="202" fontId="201" fillId="0" borderId="0" applyFont="0" applyFill="0" applyBorder="0" applyAlignment="0" applyProtection="0"/>
    <xf numFmtId="0" fontId="296" fillId="0" borderId="0" applyFont="0" applyFill="0" applyBorder="0" applyAlignment="0" applyProtection="0"/>
    <xf numFmtId="0" fontId="64" fillId="0" borderId="0" applyFont="0" applyFill="0" applyBorder="0" applyAlignment="0" applyProtection="0"/>
    <xf numFmtId="0" fontId="64" fillId="0" borderId="0" applyFont="0" applyFill="0" applyBorder="0" applyAlignment="0" applyProtection="0"/>
    <xf numFmtId="0" fontId="211" fillId="0" borderId="0"/>
    <xf numFmtId="0" fontId="64" fillId="0" borderId="0" applyNumberFormat="0" applyFill="0" applyBorder="0" applyAlignment="0" applyProtection="0"/>
    <xf numFmtId="195" fontId="11" fillId="0" borderId="0" applyFont="0" applyFill="0" applyBorder="0" applyAlignment="0" applyProtection="0"/>
    <xf numFmtId="42" fontId="199" fillId="0" borderId="0" applyFont="0" applyFill="0" applyBorder="0" applyAlignment="0" applyProtection="0"/>
    <xf numFmtId="0" fontId="215" fillId="0" borderId="0" applyNumberFormat="0" applyFill="0" applyBorder="0" applyAlignment="0" applyProtection="0"/>
    <xf numFmtId="0" fontId="215" fillId="0" borderId="0" applyNumberFormat="0" applyFill="0" applyBorder="0" applyAlignment="0" applyProtection="0"/>
    <xf numFmtId="282" fontId="199" fillId="0" borderId="0" applyFont="0" applyFill="0" applyBorder="0" applyAlignment="0" applyProtection="0"/>
    <xf numFmtId="282" fontId="19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282" fontId="199" fillId="0" borderId="0" applyFont="0" applyFill="0" applyBorder="0" applyAlignment="0" applyProtection="0"/>
    <xf numFmtId="282" fontId="199" fillId="0" borderId="0" applyFont="0" applyFill="0" applyBorder="0" applyAlignment="0" applyProtection="0"/>
    <xf numFmtId="282" fontId="199" fillId="0" borderId="0" applyFont="0" applyFill="0" applyBorder="0" applyAlignment="0" applyProtection="0"/>
    <xf numFmtId="0" fontId="215" fillId="0" borderId="0" applyNumberFormat="0" applyFill="0" applyBorder="0" applyAlignment="0" applyProtection="0"/>
    <xf numFmtId="0" fontId="215" fillId="0" borderId="0" applyNumberFormat="0" applyFill="0" applyBorder="0" applyAlignment="0" applyProtection="0"/>
    <xf numFmtId="283" fontId="11" fillId="0" borderId="0" applyFont="0" applyFill="0" applyBorder="0" applyAlignment="0" applyProtection="0"/>
    <xf numFmtId="42" fontId="199" fillId="0" borderId="0" applyFont="0" applyFill="0" applyBorder="0" applyAlignment="0" applyProtection="0"/>
    <xf numFmtId="42" fontId="199" fillId="0" borderId="0" applyFont="0" applyFill="0" applyBorder="0" applyAlignment="0" applyProtection="0"/>
    <xf numFmtId="0" fontId="215" fillId="0" borderId="0" applyNumberFormat="0" applyFill="0" applyBorder="0" applyAlignment="0" applyProtection="0"/>
    <xf numFmtId="42" fontId="199" fillId="0" borderId="0" applyFont="0" applyFill="0" applyBorder="0" applyAlignment="0" applyProtection="0"/>
    <xf numFmtId="0" fontId="215" fillId="0" borderId="0" applyNumberFormat="0" applyFill="0" applyBorder="0" applyAlignment="0" applyProtection="0"/>
    <xf numFmtId="0" fontId="215" fillId="0" borderId="0" applyNumberFormat="0" applyFill="0" applyBorder="0" applyAlignment="0" applyProtection="0"/>
    <xf numFmtId="0" fontId="215" fillId="0" borderId="0" applyNumberFormat="0" applyFill="0" applyBorder="0" applyAlignment="0" applyProtection="0"/>
    <xf numFmtId="42" fontId="199" fillId="0" borderId="0" applyFont="0" applyFill="0" applyBorder="0" applyAlignment="0" applyProtection="0"/>
    <xf numFmtId="0" fontId="262" fillId="0" borderId="0"/>
    <xf numFmtId="0" fontId="262" fillId="0" borderId="0"/>
    <xf numFmtId="0" fontId="215" fillId="0" borderId="0" applyNumberFormat="0" applyFill="0" applyBorder="0" applyAlignment="0" applyProtection="0"/>
    <xf numFmtId="0" fontId="215" fillId="0" borderId="0" applyNumberFormat="0" applyFill="0" applyBorder="0" applyAlignment="0" applyProtection="0"/>
    <xf numFmtId="0" fontId="262" fillId="0" borderId="0"/>
    <xf numFmtId="42" fontId="199" fillId="0" borderId="0" applyFont="0" applyFill="0" applyBorder="0" applyAlignment="0" applyProtection="0"/>
    <xf numFmtId="284" fontId="309" fillId="0" borderId="0" applyFont="0" applyFill="0" applyBorder="0" applyAlignment="0" applyProtection="0"/>
    <xf numFmtId="0" fontId="167" fillId="0" borderId="0">
      <alignment vertical="top"/>
    </xf>
    <xf numFmtId="0" fontId="167" fillId="0" borderId="0">
      <alignment vertical="top"/>
    </xf>
    <xf numFmtId="0" fontId="167" fillId="0" borderId="0">
      <alignment vertical="top"/>
    </xf>
    <xf numFmtId="42" fontId="199" fillId="0" borderId="0" applyFont="0" applyFill="0" applyBorder="0" applyAlignment="0" applyProtection="0"/>
    <xf numFmtId="42" fontId="199" fillId="0" borderId="0" applyFont="0" applyFill="0" applyBorder="0" applyAlignment="0" applyProtection="0"/>
    <xf numFmtId="0" fontId="215" fillId="0" borderId="0" applyNumberFormat="0" applyFill="0" applyBorder="0" applyAlignment="0" applyProtection="0"/>
    <xf numFmtId="0" fontId="215" fillId="0" borderId="0" applyNumberFormat="0" applyFill="0" applyBorder="0" applyAlignment="0" applyProtection="0"/>
    <xf numFmtId="282" fontId="199" fillId="0" borderId="0" applyFont="0" applyFill="0" applyBorder="0" applyAlignment="0" applyProtection="0"/>
    <xf numFmtId="0" fontId="262" fillId="0" borderId="0"/>
    <xf numFmtId="0" fontId="262" fillId="0" borderId="0"/>
    <xf numFmtId="0" fontId="262" fillId="0" borderId="0"/>
    <xf numFmtId="0" fontId="160" fillId="0" borderId="0" applyFont="0" applyFill="0" applyBorder="0" applyAlignment="0" applyProtection="0"/>
    <xf numFmtId="0" fontId="160" fillId="0" borderId="0" applyFont="0" applyFill="0" applyBorder="0" applyAlignment="0" applyProtection="0"/>
    <xf numFmtId="0" fontId="215" fillId="0" borderId="0" applyNumberFormat="0" applyFill="0" applyBorder="0" applyAlignment="0" applyProtection="0"/>
    <xf numFmtId="0" fontId="215" fillId="0" borderId="0" applyNumberFormat="0" applyFill="0" applyBorder="0" applyAlignment="0" applyProtection="0"/>
    <xf numFmtId="0" fontId="262" fillId="0" borderId="0"/>
    <xf numFmtId="0" fontId="262" fillId="0" borderId="0"/>
    <xf numFmtId="282" fontId="199" fillId="0" borderId="0" applyFont="0" applyFill="0" applyBorder="0" applyAlignment="0" applyProtection="0"/>
    <xf numFmtId="281" fontId="309" fillId="0" borderId="0" applyFont="0" applyFill="0" applyBorder="0" applyAlignment="0" applyProtection="0"/>
    <xf numFmtId="197" fontId="309" fillId="0" borderId="0" applyFont="0" applyFill="0" applyBorder="0" applyAlignment="0" applyProtection="0"/>
    <xf numFmtId="197" fontId="309" fillId="0" borderId="0" applyFont="0" applyFill="0" applyBorder="0" applyAlignment="0" applyProtection="0"/>
    <xf numFmtId="284" fontId="309" fillId="0" borderId="0" applyFont="0" applyFill="0" applyBorder="0" applyAlignment="0" applyProtection="0"/>
    <xf numFmtId="196" fontId="309" fillId="0" borderId="0" applyFont="0" applyFill="0" applyBorder="0" applyAlignment="0" applyProtection="0"/>
    <xf numFmtId="0" fontId="199" fillId="0" borderId="0" applyFont="0" applyFill="0" applyBorder="0" applyAlignment="0" applyProtection="0"/>
    <xf numFmtId="196" fontId="199" fillId="0" borderId="0" applyFont="0" applyFill="0" applyBorder="0" applyAlignment="0" applyProtection="0"/>
    <xf numFmtId="165" fontId="199" fillId="0" borderId="0" applyFont="0" applyFill="0" applyBorder="0" applyAlignment="0" applyProtection="0"/>
    <xf numFmtId="165" fontId="199" fillId="0" borderId="0" applyFont="0" applyFill="0" applyBorder="0" applyAlignment="0" applyProtection="0"/>
    <xf numFmtId="43" fontId="199" fillId="0" borderId="0" applyFont="0" applyFill="0" applyBorder="0" applyAlignment="0" applyProtection="0"/>
    <xf numFmtId="196" fontId="199" fillId="0" borderId="0" applyFont="0" applyFill="0" applyBorder="0" applyAlignment="0" applyProtection="0"/>
    <xf numFmtId="196" fontId="199" fillId="0" borderId="0" applyFont="0" applyFill="0" applyBorder="0" applyAlignment="0" applyProtection="0"/>
    <xf numFmtId="196" fontId="199" fillId="0" borderId="0" applyFont="0" applyFill="0" applyBorder="0" applyAlignment="0" applyProtection="0"/>
    <xf numFmtId="196" fontId="199" fillId="0" borderId="0" applyFont="0" applyFill="0" applyBorder="0" applyAlignment="0" applyProtection="0"/>
    <xf numFmtId="43" fontId="199" fillId="0" borderId="0" applyFont="0" applyFill="0" applyBorder="0" applyAlignment="0" applyProtection="0"/>
    <xf numFmtId="165" fontId="199" fillId="0" borderId="0" applyFont="0" applyFill="0" applyBorder="0" applyAlignment="0" applyProtection="0"/>
    <xf numFmtId="165" fontId="199" fillId="0" borderId="0" applyFont="0" applyFill="0" applyBorder="0" applyAlignment="0" applyProtection="0"/>
    <xf numFmtId="279" fontId="199" fillId="0" borderId="0" applyFont="0" applyFill="0" applyBorder="0" applyAlignment="0" applyProtection="0"/>
    <xf numFmtId="196" fontId="199" fillId="0" borderId="0" applyFont="0" applyFill="0" applyBorder="0" applyAlignment="0" applyProtection="0"/>
    <xf numFmtId="196" fontId="199" fillId="0" borderId="0" applyFont="0" applyFill="0" applyBorder="0" applyAlignment="0" applyProtection="0"/>
    <xf numFmtId="279" fontId="199" fillId="0" borderId="0" applyFont="0" applyFill="0" applyBorder="0" applyAlignment="0" applyProtection="0"/>
    <xf numFmtId="279" fontId="199" fillId="0" borderId="0" applyFont="0" applyFill="0" applyBorder="0" applyAlignment="0" applyProtection="0"/>
    <xf numFmtId="165" fontId="199" fillId="0" borderId="0" applyFont="0" applyFill="0" applyBorder="0" applyAlignment="0" applyProtection="0"/>
    <xf numFmtId="43" fontId="199" fillId="0" borderId="0" applyFont="0" applyFill="0" applyBorder="0" applyAlignment="0" applyProtection="0"/>
    <xf numFmtId="196" fontId="199" fillId="0" borderId="0" applyFont="0" applyFill="0" applyBorder="0" applyAlignment="0" applyProtection="0"/>
    <xf numFmtId="279" fontId="199" fillId="0" borderId="0" applyFont="0" applyFill="0" applyBorder="0" applyAlignment="0" applyProtection="0"/>
    <xf numFmtId="279" fontId="199" fillId="0" borderId="0" applyFont="0" applyFill="0" applyBorder="0" applyAlignment="0" applyProtection="0"/>
    <xf numFmtId="43" fontId="199" fillId="0" borderId="0" applyFont="0" applyFill="0" applyBorder="0" applyAlignment="0" applyProtection="0"/>
    <xf numFmtId="279" fontId="199" fillId="0" borderId="0" applyFont="0" applyFill="0" applyBorder="0" applyAlignment="0" applyProtection="0"/>
    <xf numFmtId="43" fontId="199" fillId="0" borderId="0" applyFont="0" applyFill="0" applyBorder="0" applyAlignment="0" applyProtection="0"/>
    <xf numFmtId="196" fontId="199" fillId="0" borderId="0" applyFont="0" applyFill="0" applyBorder="0" applyAlignment="0" applyProtection="0"/>
    <xf numFmtId="43" fontId="199" fillId="0" borderId="0" applyFont="0" applyFill="0" applyBorder="0" applyAlignment="0" applyProtection="0"/>
    <xf numFmtId="285" fontId="199" fillId="0" borderId="0" applyFont="0" applyFill="0" applyBorder="0" applyAlignment="0" applyProtection="0"/>
    <xf numFmtId="286" fontId="199" fillId="0" borderId="0" applyFont="0" applyFill="0" applyBorder="0" applyAlignment="0" applyProtection="0"/>
    <xf numFmtId="43" fontId="199" fillId="0" borderId="0" applyFont="0" applyFill="0" applyBorder="0" applyAlignment="0" applyProtection="0"/>
    <xf numFmtId="195" fontId="309" fillId="0" borderId="0" applyFont="0" applyFill="0" applyBorder="0" applyAlignment="0" applyProtection="0"/>
    <xf numFmtId="282" fontId="199" fillId="0" borderId="0" applyFont="0" applyFill="0" applyBorder="0" applyAlignment="0" applyProtection="0"/>
    <xf numFmtId="42" fontId="199" fillId="0" borderId="0" applyFont="0" applyFill="0" applyBorder="0" applyAlignment="0" applyProtection="0"/>
    <xf numFmtId="42" fontId="199" fillId="0" borderId="0" applyFont="0" applyFill="0" applyBorder="0" applyAlignment="0" applyProtection="0"/>
    <xf numFmtId="287" fontId="199" fillId="0" borderId="0" applyFont="0" applyFill="0" applyBorder="0" applyAlignment="0" applyProtection="0"/>
    <xf numFmtId="288" fontId="199" fillId="0" borderId="0" applyFont="0" applyFill="0" applyBorder="0" applyAlignment="0" applyProtection="0"/>
    <xf numFmtId="287" fontId="309" fillId="0" borderId="0" applyFont="0" applyFill="0" applyBorder="0" applyAlignment="0" applyProtection="0"/>
    <xf numFmtId="288" fontId="199" fillId="0" borderId="0" applyFont="0" applyFill="0" applyBorder="0" applyAlignment="0" applyProtection="0"/>
    <xf numFmtId="287" fontId="199" fillId="0" borderId="0" applyFont="0" applyFill="0" applyBorder="0" applyAlignment="0" applyProtection="0"/>
    <xf numFmtId="289" fontId="199" fillId="0" borderId="0" applyFont="0" applyFill="0" applyBorder="0" applyAlignment="0" applyProtection="0"/>
    <xf numFmtId="0" fontId="199" fillId="0" borderId="0" applyFont="0" applyFill="0" applyBorder="0" applyAlignment="0" applyProtection="0"/>
    <xf numFmtId="196" fontId="199" fillId="0" borderId="0" applyFont="0" applyFill="0" applyBorder="0" applyAlignment="0" applyProtection="0"/>
    <xf numFmtId="165" fontId="199" fillId="0" borderId="0" applyFont="0" applyFill="0" applyBorder="0" applyAlignment="0" applyProtection="0"/>
    <xf numFmtId="165" fontId="199" fillId="0" borderId="0" applyFont="0" applyFill="0" applyBorder="0" applyAlignment="0" applyProtection="0"/>
    <xf numFmtId="43" fontId="199" fillId="0" borderId="0" applyFont="0" applyFill="0" applyBorder="0" applyAlignment="0" applyProtection="0"/>
    <xf numFmtId="196" fontId="199" fillId="0" borderId="0" applyFont="0" applyFill="0" applyBorder="0" applyAlignment="0" applyProtection="0"/>
    <xf numFmtId="196" fontId="199" fillId="0" borderId="0" applyFont="0" applyFill="0" applyBorder="0" applyAlignment="0" applyProtection="0"/>
    <xf numFmtId="196" fontId="199" fillId="0" borderId="0" applyFont="0" applyFill="0" applyBorder="0" applyAlignment="0" applyProtection="0"/>
    <xf numFmtId="196" fontId="199" fillId="0" borderId="0" applyFont="0" applyFill="0" applyBorder="0" applyAlignment="0" applyProtection="0"/>
    <xf numFmtId="43" fontId="199" fillId="0" borderId="0" applyFont="0" applyFill="0" applyBorder="0" applyAlignment="0" applyProtection="0"/>
    <xf numFmtId="165" fontId="199" fillId="0" borderId="0" applyFont="0" applyFill="0" applyBorder="0" applyAlignment="0" applyProtection="0"/>
    <xf numFmtId="165" fontId="199" fillId="0" borderId="0" applyFont="0" applyFill="0" applyBorder="0" applyAlignment="0" applyProtection="0"/>
    <xf numFmtId="279" fontId="199" fillId="0" borderId="0" applyFont="0" applyFill="0" applyBorder="0" applyAlignment="0" applyProtection="0"/>
    <xf numFmtId="196" fontId="199" fillId="0" borderId="0" applyFont="0" applyFill="0" applyBorder="0" applyAlignment="0" applyProtection="0"/>
    <xf numFmtId="196" fontId="199" fillId="0" borderId="0" applyFont="0" applyFill="0" applyBorder="0" applyAlignment="0" applyProtection="0"/>
    <xf numFmtId="279" fontId="199" fillId="0" borderId="0" applyFont="0" applyFill="0" applyBorder="0" applyAlignment="0" applyProtection="0"/>
    <xf numFmtId="279" fontId="199" fillId="0" borderId="0" applyFont="0" applyFill="0" applyBorder="0" applyAlignment="0" applyProtection="0"/>
    <xf numFmtId="165" fontId="199" fillId="0" borderId="0" applyFont="0" applyFill="0" applyBorder="0" applyAlignment="0" applyProtection="0"/>
    <xf numFmtId="43" fontId="199" fillId="0" borderId="0" applyFont="0" applyFill="0" applyBorder="0" applyAlignment="0" applyProtection="0"/>
    <xf numFmtId="196" fontId="199" fillId="0" borderId="0" applyFont="0" applyFill="0" applyBorder="0" applyAlignment="0" applyProtection="0"/>
    <xf numFmtId="279" fontId="199" fillId="0" borderId="0" applyFont="0" applyFill="0" applyBorder="0" applyAlignment="0" applyProtection="0"/>
    <xf numFmtId="279" fontId="199" fillId="0" borderId="0" applyFont="0" applyFill="0" applyBorder="0" applyAlignment="0" applyProtection="0"/>
    <xf numFmtId="43" fontId="199" fillId="0" borderId="0" applyFont="0" applyFill="0" applyBorder="0" applyAlignment="0" applyProtection="0"/>
    <xf numFmtId="279" fontId="199" fillId="0" borderId="0" applyFont="0" applyFill="0" applyBorder="0" applyAlignment="0" applyProtection="0"/>
    <xf numFmtId="43" fontId="199" fillId="0" borderId="0" applyFont="0" applyFill="0" applyBorder="0" applyAlignment="0" applyProtection="0"/>
    <xf numFmtId="196" fontId="199" fillId="0" borderId="0" applyFont="0" applyFill="0" applyBorder="0" applyAlignment="0" applyProtection="0"/>
    <xf numFmtId="43" fontId="199" fillId="0" borderId="0" applyFont="0" applyFill="0" applyBorder="0" applyAlignment="0" applyProtection="0"/>
    <xf numFmtId="285" fontId="199" fillId="0" borderId="0" applyFont="0" applyFill="0" applyBorder="0" applyAlignment="0" applyProtection="0"/>
    <xf numFmtId="286" fontId="199" fillId="0" borderId="0" applyFont="0" applyFill="0" applyBorder="0" applyAlignment="0" applyProtection="0"/>
    <xf numFmtId="196" fontId="309" fillId="0" borderId="0" applyFont="0" applyFill="0" applyBorder="0" applyAlignment="0" applyProtection="0"/>
    <xf numFmtId="43" fontId="199" fillId="0" borderId="0" applyFont="0" applyFill="0" applyBorder="0" applyAlignment="0" applyProtection="0"/>
    <xf numFmtId="283" fontId="199" fillId="0" borderId="0" applyFont="0" applyFill="0" applyBorder="0" applyAlignment="0" applyProtection="0"/>
    <xf numFmtId="195" fontId="199" fillId="0" borderId="0" applyFont="0" applyFill="0" applyBorder="0" applyAlignment="0" applyProtection="0"/>
    <xf numFmtId="164" fontId="199" fillId="0" borderId="0" applyFont="0" applyFill="0" applyBorder="0" applyAlignment="0" applyProtection="0"/>
    <xf numFmtId="164" fontId="199" fillId="0" borderId="0" applyFont="0" applyFill="0" applyBorder="0" applyAlignment="0" applyProtection="0"/>
    <xf numFmtId="41" fontId="199" fillId="0" borderId="0" applyFont="0" applyFill="0" applyBorder="0" applyAlignment="0" applyProtection="0"/>
    <xf numFmtId="195" fontId="199" fillId="0" borderId="0" applyFont="0" applyFill="0" applyBorder="0" applyAlignment="0" applyProtection="0"/>
    <xf numFmtId="195" fontId="199" fillId="0" borderId="0" applyFont="0" applyFill="0" applyBorder="0" applyAlignment="0" applyProtection="0"/>
    <xf numFmtId="195" fontId="199" fillId="0" borderId="0" applyFont="0" applyFill="0" applyBorder="0" applyAlignment="0" applyProtection="0"/>
    <xf numFmtId="195" fontId="199" fillId="0" borderId="0" applyFont="0" applyFill="0" applyBorder="0" applyAlignment="0" applyProtection="0"/>
    <xf numFmtId="41" fontId="199" fillId="0" borderId="0" applyFont="0" applyFill="0" applyBorder="0" applyAlignment="0" applyProtection="0"/>
    <xf numFmtId="164" fontId="199" fillId="0" borderId="0" applyFont="0" applyFill="0" applyBorder="0" applyAlignment="0" applyProtection="0"/>
    <xf numFmtId="164" fontId="199" fillId="0" borderId="0" applyFont="0" applyFill="0" applyBorder="0" applyAlignment="0" applyProtection="0"/>
    <xf numFmtId="283" fontId="199" fillId="0" borderId="0" applyFont="0" applyFill="0" applyBorder="0" applyAlignment="0" applyProtection="0"/>
    <xf numFmtId="195" fontId="199" fillId="0" borderId="0" applyFont="0" applyFill="0" applyBorder="0" applyAlignment="0" applyProtection="0"/>
    <xf numFmtId="195" fontId="199" fillId="0" borderId="0" applyFont="0" applyFill="0" applyBorder="0" applyAlignment="0" applyProtection="0"/>
    <xf numFmtId="283" fontId="199" fillId="0" borderId="0" applyFont="0" applyFill="0" applyBorder="0" applyAlignment="0" applyProtection="0"/>
    <xf numFmtId="283" fontId="199" fillId="0" borderId="0" applyFont="0" applyFill="0" applyBorder="0" applyAlignment="0" applyProtection="0"/>
    <xf numFmtId="164" fontId="199" fillId="0" borderId="0" applyFont="0" applyFill="0" applyBorder="0" applyAlignment="0" applyProtection="0"/>
    <xf numFmtId="41" fontId="199" fillId="0" borderId="0" applyFont="0" applyFill="0" applyBorder="0" applyAlignment="0" applyProtection="0"/>
    <xf numFmtId="195" fontId="199" fillId="0" borderId="0" applyFont="0" applyFill="0" applyBorder="0" applyAlignment="0" applyProtection="0"/>
    <xf numFmtId="283" fontId="199" fillId="0" borderId="0" applyFont="0" applyFill="0" applyBorder="0" applyAlignment="0" applyProtection="0"/>
    <xf numFmtId="41" fontId="199" fillId="0" borderId="0" applyFont="0" applyFill="0" applyBorder="0" applyAlignment="0" applyProtection="0"/>
    <xf numFmtId="283" fontId="199" fillId="0" borderId="0" applyFont="0" applyFill="0" applyBorder="0" applyAlignment="0" applyProtection="0"/>
    <xf numFmtId="41" fontId="199" fillId="0" borderId="0" applyFont="0" applyFill="0" applyBorder="0" applyAlignment="0" applyProtection="0"/>
    <xf numFmtId="195" fontId="199" fillId="0" borderId="0" applyFont="0" applyFill="0" applyBorder="0" applyAlignment="0" applyProtection="0"/>
    <xf numFmtId="41" fontId="199" fillId="0" borderId="0" applyFont="0" applyFill="0" applyBorder="0" applyAlignment="0" applyProtection="0"/>
    <xf numFmtId="290" fontId="199" fillId="0" borderId="0" applyFont="0" applyFill="0" applyBorder="0" applyAlignment="0" applyProtection="0"/>
    <xf numFmtId="291" fontId="199" fillId="0" borderId="0" applyFont="0" applyFill="0" applyBorder="0" applyAlignment="0" applyProtection="0"/>
    <xf numFmtId="41" fontId="199" fillId="0" borderId="0" applyFont="0" applyFill="0" applyBorder="0" applyAlignment="0" applyProtection="0"/>
    <xf numFmtId="42" fontId="199" fillId="0" borderId="0" applyFont="0" applyFill="0" applyBorder="0" applyAlignment="0" applyProtection="0"/>
    <xf numFmtId="42" fontId="199" fillId="0" borderId="0" applyFont="0" applyFill="0" applyBorder="0" applyAlignment="0" applyProtection="0"/>
    <xf numFmtId="287" fontId="199" fillId="0" borderId="0" applyFont="0" applyFill="0" applyBorder="0" applyAlignment="0" applyProtection="0"/>
    <xf numFmtId="288" fontId="199" fillId="0" borderId="0" applyFont="0" applyFill="0" applyBorder="0" applyAlignment="0" applyProtection="0"/>
    <xf numFmtId="287" fontId="309" fillId="0" borderId="0" applyFont="0" applyFill="0" applyBorder="0" applyAlignment="0" applyProtection="0"/>
    <xf numFmtId="288" fontId="199" fillId="0" borderId="0" applyFont="0" applyFill="0" applyBorder="0" applyAlignment="0" applyProtection="0"/>
    <xf numFmtId="287" fontId="199" fillId="0" borderId="0" applyFont="0" applyFill="0" applyBorder="0" applyAlignment="0" applyProtection="0"/>
    <xf numFmtId="289" fontId="199" fillId="0" borderId="0" applyFont="0" applyFill="0" applyBorder="0" applyAlignment="0" applyProtection="0"/>
    <xf numFmtId="195" fontId="309" fillId="0" borderId="0" applyFont="0" applyFill="0" applyBorder="0" applyAlignment="0" applyProtection="0"/>
    <xf numFmtId="196" fontId="309" fillId="0" borderId="0" applyFont="0" applyFill="0" applyBorder="0" applyAlignment="0" applyProtection="0"/>
    <xf numFmtId="283" fontId="199" fillId="0" borderId="0" applyFont="0" applyFill="0" applyBorder="0" applyAlignment="0" applyProtection="0"/>
    <xf numFmtId="195" fontId="199" fillId="0" borderId="0" applyFont="0" applyFill="0" applyBorder="0" applyAlignment="0" applyProtection="0"/>
    <xf numFmtId="164" fontId="199" fillId="0" borderId="0" applyFont="0" applyFill="0" applyBorder="0" applyAlignment="0" applyProtection="0"/>
    <xf numFmtId="164" fontId="199" fillId="0" borderId="0" applyFont="0" applyFill="0" applyBorder="0" applyAlignment="0" applyProtection="0"/>
    <xf numFmtId="41" fontId="199" fillId="0" borderId="0" applyFont="0" applyFill="0" applyBorder="0" applyAlignment="0" applyProtection="0"/>
    <xf numFmtId="195" fontId="199" fillId="0" borderId="0" applyFont="0" applyFill="0" applyBorder="0" applyAlignment="0" applyProtection="0"/>
    <xf numFmtId="195" fontId="199" fillId="0" borderId="0" applyFont="0" applyFill="0" applyBorder="0" applyAlignment="0" applyProtection="0"/>
    <xf numFmtId="195" fontId="199" fillId="0" borderId="0" applyFont="0" applyFill="0" applyBorder="0" applyAlignment="0" applyProtection="0"/>
    <xf numFmtId="195" fontId="199" fillId="0" borderId="0" applyFont="0" applyFill="0" applyBorder="0" applyAlignment="0" applyProtection="0"/>
    <xf numFmtId="41" fontId="199" fillId="0" borderId="0" applyFont="0" applyFill="0" applyBorder="0" applyAlignment="0" applyProtection="0"/>
    <xf numFmtId="164" fontId="199" fillId="0" borderId="0" applyFont="0" applyFill="0" applyBorder="0" applyAlignment="0" applyProtection="0"/>
    <xf numFmtId="164" fontId="199" fillId="0" borderId="0" applyFont="0" applyFill="0" applyBorder="0" applyAlignment="0" applyProtection="0"/>
    <xf numFmtId="283" fontId="199" fillId="0" borderId="0" applyFont="0" applyFill="0" applyBorder="0" applyAlignment="0" applyProtection="0"/>
    <xf numFmtId="195" fontId="199" fillId="0" borderId="0" applyFont="0" applyFill="0" applyBorder="0" applyAlignment="0" applyProtection="0"/>
    <xf numFmtId="195" fontId="199" fillId="0" borderId="0" applyFont="0" applyFill="0" applyBorder="0" applyAlignment="0" applyProtection="0"/>
    <xf numFmtId="283" fontId="199" fillId="0" borderId="0" applyFont="0" applyFill="0" applyBorder="0" applyAlignment="0" applyProtection="0"/>
    <xf numFmtId="283" fontId="199" fillId="0" borderId="0" applyFont="0" applyFill="0" applyBorder="0" applyAlignment="0" applyProtection="0"/>
    <xf numFmtId="164" fontId="199" fillId="0" borderId="0" applyFont="0" applyFill="0" applyBorder="0" applyAlignment="0" applyProtection="0"/>
    <xf numFmtId="41" fontId="199" fillId="0" borderId="0" applyFont="0" applyFill="0" applyBorder="0" applyAlignment="0" applyProtection="0"/>
    <xf numFmtId="195" fontId="199" fillId="0" borderId="0" applyFont="0" applyFill="0" applyBorder="0" applyAlignment="0" applyProtection="0"/>
    <xf numFmtId="283" fontId="199" fillId="0" borderId="0" applyFont="0" applyFill="0" applyBorder="0" applyAlignment="0" applyProtection="0"/>
    <xf numFmtId="41" fontId="199" fillId="0" borderId="0" applyFont="0" applyFill="0" applyBorder="0" applyAlignment="0" applyProtection="0"/>
    <xf numFmtId="283" fontId="199" fillId="0" borderId="0" applyFont="0" applyFill="0" applyBorder="0" applyAlignment="0" applyProtection="0"/>
    <xf numFmtId="41" fontId="199" fillId="0" borderId="0" applyFont="0" applyFill="0" applyBorder="0" applyAlignment="0" applyProtection="0"/>
    <xf numFmtId="195" fontId="199" fillId="0" borderId="0" applyFont="0" applyFill="0" applyBorder="0" applyAlignment="0" applyProtection="0"/>
    <xf numFmtId="41" fontId="199" fillId="0" borderId="0" applyFont="0" applyFill="0" applyBorder="0" applyAlignment="0" applyProtection="0"/>
    <xf numFmtId="290" fontId="199" fillId="0" borderId="0" applyFont="0" applyFill="0" applyBorder="0" applyAlignment="0" applyProtection="0"/>
    <xf numFmtId="291" fontId="199" fillId="0" borderId="0" applyFont="0" applyFill="0" applyBorder="0" applyAlignment="0" applyProtection="0"/>
    <xf numFmtId="41" fontId="199" fillId="0" borderId="0" applyFont="0" applyFill="0" applyBorder="0" applyAlignment="0" applyProtection="0"/>
    <xf numFmtId="0" fontId="199" fillId="0" borderId="0" applyFont="0" applyFill="0" applyBorder="0" applyAlignment="0" applyProtection="0"/>
    <xf numFmtId="196" fontId="199" fillId="0" borderId="0" applyFont="0" applyFill="0" applyBorder="0" applyAlignment="0" applyProtection="0"/>
    <xf numFmtId="165" fontId="199" fillId="0" borderId="0" applyFont="0" applyFill="0" applyBorder="0" applyAlignment="0" applyProtection="0"/>
    <xf numFmtId="165" fontId="199" fillId="0" borderId="0" applyFont="0" applyFill="0" applyBorder="0" applyAlignment="0" applyProtection="0"/>
    <xf numFmtId="43" fontId="199" fillId="0" borderId="0" applyFont="0" applyFill="0" applyBorder="0" applyAlignment="0" applyProtection="0"/>
    <xf numFmtId="196" fontId="199" fillId="0" borderId="0" applyFont="0" applyFill="0" applyBorder="0" applyAlignment="0" applyProtection="0"/>
    <xf numFmtId="196" fontId="199" fillId="0" borderId="0" applyFont="0" applyFill="0" applyBorder="0" applyAlignment="0" applyProtection="0"/>
    <xf numFmtId="196" fontId="199" fillId="0" borderId="0" applyFont="0" applyFill="0" applyBorder="0" applyAlignment="0" applyProtection="0"/>
    <xf numFmtId="196" fontId="199" fillId="0" borderId="0" applyFont="0" applyFill="0" applyBorder="0" applyAlignment="0" applyProtection="0"/>
    <xf numFmtId="43" fontId="199" fillId="0" borderId="0" applyFont="0" applyFill="0" applyBorder="0" applyAlignment="0" applyProtection="0"/>
    <xf numFmtId="165" fontId="199" fillId="0" borderId="0" applyFont="0" applyFill="0" applyBorder="0" applyAlignment="0" applyProtection="0"/>
    <xf numFmtId="165" fontId="199" fillId="0" borderId="0" applyFont="0" applyFill="0" applyBorder="0" applyAlignment="0" applyProtection="0"/>
    <xf numFmtId="279" fontId="199" fillId="0" borderId="0" applyFont="0" applyFill="0" applyBorder="0" applyAlignment="0" applyProtection="0"/>
    <xf numFmtId="196" fontId="199" fillId="0" borderId="0" applyFont="0" applyFill="0" applyBorder="0" applyAlignment="0" applyProtection="0"/>
    <xf numFmtId="196" fontId="199" fillId="0" borderId="0" applyFont="0" applyFill="0" applyBorder="0" applyAlignment="0" applyProtection="0"/>
    <xf numFmtId="279" fontId="199" fillId="0" borderId="0" applyFont="0" applyFill="0" applyBorder="0" applyAlignment="0" applyProtection="0"/>
    <xf numFmtId="279" fontId="199" fillId="0" borderId="0" applyFont="0" applyFill="0" applyBorder="0" applyAlignment="0" applyProtection="0"/>
    <xf numFmtId="165" fontId="199" fillId="0" borderId="0" applyFont="0" applyFill="0" applyBorder="0" applyAlignment="0" applyProtection="0"/>
    <xf numFmtId="43" fontId="199" fillId="0" borderId="0" applyFont="0" applyFill="0" applyBorder="0" applyAlignment="0" applyProtection="0"/>
    <xf numFmtId="196" fontId="199" fillId="0" borderId="0" applyFont="0" applyFill="0" applyBorder="0" applyAlignment="0" applyProtection="0"/>
    <xf numFmtId="279" fontId="199" fillId="0" borderId="0" applyFont="0" applyFill="0" applyBorder="0" applyAlignment="0" applyProtection="0"/>
    <xf numFmtId="279" fontId="199" fillId="0" borderId="0" applyFont="0" applyFill="0" applyBorder="0" applyAlignment="0" applyProtection="0"/>
    <xf numFmtId="43" fontId="199" fillId="0" borderId="0" applyFont="0" applyFill="0" applyBorder="0" applyAlignment="0" applyProtection="0"/>
    <xf numFmtId="279" fontId="199" fillId="0" borderId="0" applyFont="0" applyFill="0" applyBorder="0" applyAlignment="0" applyProtection="0"/>
    <xf numFmtId="43" fontId="199" fillId="0" borderId="0" applyFont="0" applyFill="0" applyBorder="0" applyAlignment="0" applyProtection="0"/>
    <xf numFmtId="196" fontId="199" fillId="0" borderId="0" applyFont="0" applyFill="0" applyBorder="0" applyAlignment="0" applyProtection="0"/>
    <xf numFmtId="43" fontId="199" fillId="0" borderId="0" applyFont="0" applyFill="0" applyBorder="0" applyAlignment="0" applyProtection="0"/>
    <xf numFmtId="285" fontId="199" fillId="0" borderId="0" applyFont="0" applyFill="0" applyBorder="0" applyAlignment="0" applyProtection="0"/>
    <xf numFmtId="286" fontId="199" fillId="0" borderId="0" applyFont="0" applyFill="0" applyBorder="0" applyAlignment="0" applyProtection="0"/>
    <xf numFmtId="43" fontId="199" fillId="0" borderId="0" applyFont="0" applyFill="0" applyBorder="0" applyAlignment="0" applyProtection="0"/>
    <xf numFmtId="195" fontId="309" fillId="0" borderId="0" applyFont="0" applyFill="0" applyBorder="0" applyAlignment="0" applyProtection="0"/>
    <xf numFmtId="281" fontId="309" fillId="0" borderId="0" applyFont="0" applyFill="0" applyBorder="0" applyAlignment="0" applyProtection="0"/>
    <xf numFmtId="197" fontId="309" fillId="0" borderId="0" applyFont="0" applyFill="0" applyBorder="0" applyAlignment="0" applyProtection="0"/>
    <xf numFmtId="197" fontId="309" fillId="0" borderId="0" applyFont="0" applyFill="0" applyBorder="0" applyAlignment="0" applyProtection="0"/>
    <xf numFmtId="284" fontId="309" fillId="0" borderId="0" applyFont="0" applyFill="0" applyBorder="0" applyAlignment="0" applyProtection="0"/>
    <xf numFmtId="42" fontId="199" fillId="0" borderId="0" applyFont="0" applyFill="0" applyBorder="0" applyAlignment="0" applyProtection="0"/>
    <xf numFmtId="42" fontId="199" fillId="0" borderId="0" applyFont="0" applyFill="0" applyBorder="0" applyAlignment="0" applyProtection="0"/>
    <xf numFmtId="42" fontId="199" fillId="0" borderId="0" applyFont="0" applyFill="0" applyBorder="0" applyAlignment="0" applyProtection="0"/>
    <xf numFmtId="0" fontId="215" fillId="0" borderId="0" applyNumberFormat="0" applyFill="0" applyBorder="0" applyAlignment="0" applyProtection="0"/>
    <xf numFmtId="0" fontId="215" fillId="0" borderId="0" applyNumberFormat="0" applyFill="0" applyBorder="0" applyAlignment="0" applyProtection="0"/>
    <xf numFmtId="0" fontId="215" fillId="0" borderId="0" applyNumberFormat="0" applyFill="0" applyBorder="0" applyAlignment="0" applyProtection="0"/>
    <xf numFmtId="0" fontId="215" fillId="0" borderId="0" applyNumberFormat="0" applyFill="0" applyBorder="0" applyAlignment="0" applyProtection="0"/>
    <xf numFmtId="287" fontId="199" fillId="0" borderId="0" applyFont="0" applyFill="0" applyBorder="0" applyAlignment="0" applyProtection="0"/>
    <xf numFmtId="288" fontId="199" fillId="0" borderId="0" applyFont="0" applyFill="0" applyBorder="0" applyAlignment="0" applyProtection="0"/>
    <xf numFmtId="287" fontId="309" fillId="0" borderId="0" applyFont="0" applyFill="0" applyBorder="0" applyAlignment="0" applyProtection="0"/>
    <xf numFmtId="288" fontId="199" fillId="0" borderId="0" applyFont="0" applyFill="0" applyBorder="0" applyAlignment="0" applyProtection="0"/>
    <xf numFmtId="287" fontId="199" fillId="0" borderId="0" applyFont="0" applyFill="0" applyBorder="0" applyAlignment="0" applyProtection="0"/>
    <xf numFmtId="0" fontId="215" fillId="0" borderId="0" applyNumberFormat="0" applyFill="0" applyBorder="0" applyAlignment="0" applyProtection="0"/>
    <xf numFmtId="0" fontId="215" fillId="0" borderId="0" applyNumberFormat="0" applyFill="0" applyBorder="0" applyAlignment="0" applyProtection="0"/>
    <xf numFmtId="0" fontId="310" fillId="0" borderId="0"/>
    <xf numFmtId="0" fontId="262" fillId="0" borderId="0"/>
    <xf numFmtId="42" fontId="199" fillId="0" borderId="0" applyFont="0" applyFill="0" applyBorder="0" applyAlignment="0" applyProtection="0"/>
    <xf numFmtId="42" fontId="199" fillId="0" borderId="0" applyFont="0" applyFill="0" applyBorder="0" applyAlignment="0" applyProtection="0"/>
    <xf numFmtId="0" fontId="262" fillId="0" borderId="0"/>
    <xf numFmtId="289" fontId="199" fillId="0" borderId="0" applyFont="0" applyFill="0" applyBorder="0" applyAlignment="0" applyProtection="0"/>
    <xf numFmtId="0" fontId="160" fillId="0" borderId="0"/>
    <xf numFmtId="42" fontId="199" fillId="0" borderId="0" applyFont="0" applyFill="0" applyBorder="0" applyAlignment="0" applyProtection="0"/>
    <xf numFmtId="42" fontId="199" fillId="0" borderId="0" applyFont="0" applyFill="0" applyBorder="0" applyAlignment="0" applyProtection="0"/>
    <xf numFmtId="195" fontId="309" fillId="0" borderId="0" applyFont="0" applyFill="0" applyBorder="0" applyAlignment="0" applyProtection="0"/>
    <xf numFmtId="283" fontId="199" fillId="0" borderId="0" applyFont="0" applyFill="0" applyBorder="0" applyAlignment="0" applyProtection="0"/>
    <xf numFmtId="195" fontId="199" fillId="0" borderId="0" applyFont="0" applyFill="0" applyBorder="0" applyAlignment="0" applyProtection="0"/>
    <xf numFmtId="164" fontId="199" fillId="0" borderId="0" applyFont="0" applyFill="0" applyBorder="0" applyAlignment="0" applyProtection="0"/>
    <xf numFmtId="164" fontId="199" fillId="0" borderId="0" applyFont="0" applyFill="0" applyBorder="0" applyAlignment="0" applyProtection="0"/>
    <xf numFmtId="41" fontId="199" fillId="0" borderId="0" applyFont="0" applyFill="0" applyBorder="0" applyAlignment="0" applyProtection="0"/>
    <xf numFmtId="195" fontId="199" fillId="0" borderId="0" applyFont="0" applyFill="0" applyBorder="0" applyAlignment="0" applyProtection="0"/>
    <xf numFmtId="195" fontId="199" fillId="0" borderId="0" applyFont="0" applyFill="0" applyBorder="0" applyAlignment="0" applyProtection="0"/>
    <xf numFmtId="195" fontId="199" fillId="0" borderId="0" applyFont="0" applyFill="0" applyBorder="0" applyAlignment="0" applyProtection="0"/>
    <xf numFmtId="195" fontId="199" fillId="0" borderId="0" applyFont="0" applyFill="0" applyBorder="0" applyAlignment="0" applyProtection="0"/>
    <xf numFmtId="41" fontId="199" fillId="0" borderId="0" applyFont="0" applyFill="0" applyBorder="0" applyAlignment="0" applyProtection="0"/>
    <xf numFmtId="164" fontId="199" fillId="0" borderId="0" applyFont="0" applyFill="0" applyBorder="0" applyAlignment="0" applyProtection="0"/>
    <xf numFmtId="164" fontId="199" fillId="0" borderId="0" applyFont="0" applyFill="0" applyBorder="0" applyAlignment="0" applyProtection="0"/>
    <xf numFmtId="283" fontId="199" fillId="0" borderId="0" applyFont="0" applyFill="0" applyBorder="0" applyAlignment="0" applyProtection="0"/>
    <xf numFmtId="195" fontId="199" fillId="0" borderId="0" applyFont="0" applyFill="0" applyBorder="0" applyAlignment="0" applyProtection="0"/>
    <xf numFmtId="195" fontId="199" fillId="0" borderId="0" applyFont="0" applyFill="0" applyBorder="0" applyAlignment="0" applyProtection="0"/>
    <xf numFmtId="283" fontId="199" fillId="0" borderId="0" applyFont="0" applyFill="0" applyBorder="0" applyAlignment="0" applyProtection="0"/>
    <xf numFmtId="283" fontId="199" fillId="0" borderId="0" applyFont="0" applyFill="0" applyBorder="0" applyAlignment="0" applyProtection="0"/>
    <xf numFmtId="164" fontId="199" fillId="0" borderId="0" applyFont="0" applyFill="0" applyBorder="0" applyAlignment="0" applyProtection="0"/>
    <xf numFmtId="41" fontId="199" fillId="0" borderId="0" applyFont="0" applyFill="0" applyBorder="0" applyAlignment="0" applyProtection="0"/>
    <xf numFmtId="195" fontId="199" fillId="0" borderId="0" applyFont="0" applyFill="0" applyBorder="0" applyAlignment="0" applyProtection="0"/>
    <xf numFmtId="283" fontId="199" fillId="0" borderId="0" applyFont="0" applyFill="0" applyBorder="0" applyAlignment="0" applyProtection="0"/>
    <xf numFmtId="41" fontId="199" fillId="0" borderId="0" applyFont="0" applyFill="0" applyBorder="0" applyAlignment="0" applyProtection="0"/>
    <xf numFmtId="283" fontId="199" fillId="0" borderId="0" applyFont="0" applyFill="0" applyBorder="0" applyAlignment="0" applyProtection="0"/>
    <xf numFmtId="41" fontId="199" fillId="0" borderId="0" applyFont="0" applyFill="0" applyBorder="0" applyAlignment="0" applyProtection="0"/>
    <xf numFmtId="195" fontId="199" fillId="0" borderId="0" applyFont="0" applyFill="0" applyBorder="0" applyAlignment="0" applyProtection="0"/>
    <xf numFmtId="41" fontId="199" fillId="0" borderId="0" applyFont="0" applyFill="0" applyBorder="0" applyAlignment="0" applyProtection="0"/>
    <xf numFmtId="290" fontId="199" fillId="0" borderId="0" applyFont="0" applyFill="0" applyBorder="0" applyAlignment="0" applyProtection="0"/>
    <xf numFmtId="291" fontId="199" fillId="0" borderId="0" applyFont="0" applyFill="0" applyBorder="0" applyAlignment="0" applyProtection="0"/>
    <xf numFmtId="41" fontId="199" fillId="0" borderId="0" applyFont="0" applyFill="0" applyBorder="0" applyAlignment="0" applyProtection="0"/>
    <xf numFmtId="0" fontId="199" fillId="0" borderId="0" applyFont="0" applyFill="0" applyBorder="0" applyAlignment="0" applyProtection="0"/>
    <xf numFmtId="196" fontId="199" fillId="0" borderId="0" applyFont="0" applyFill="0" applyBorder="0" applyAlignment="0" applyProtection="0"/>
    <xf numFmtId="165" fontId="199" fillId="0" borderId="0" applyFont="0" applyFill="0" applyBorder="0" applyAlignment="0" applyProtection="0"/>
    <xf numFmtId="165" fontId="199" fillId="0" borderId="0" applyFont="0" applyFill="0" applyBorder="0" applyAlignment="0" applyProtection="0"/>
    <xf numFmtId="43" fontId="199" fillId="0" borderId="0" applyFont="0" applyFill="0" applyBorder="0" applyAlignment="0" applyProtection="0"/>
    <xf numFmtId="196" fontId="199" fillId="0" borderId="0" applyFont="0" applyFill="0" applyBorder="0" applyAlignment="0" applyProtection="0"/>
    <xf numFmtId="196" fontId="199" fillId="0" borderId="0" applyFont="0" applyFill="0" applyBorder="0" applyAlignment="0" applyProtection="0"/>
    <xf numFmtId="196" fontId="199" fillId="0" borderId="0" applyFont="0" applyFill="0" applyBorder="0" applyAlignment="0" applyProtection="0"/>
    <xf numFmtId="196" fontId="199" fillId="0" borderId="0" applyFont="0" applyFill="0" applyBorder="0" applyAlignment="0" applyProtection="0"/>
    <xf numFmtId="43" fontId="199" fillId="0" borderId="0" applyFont="0" applyFill="0" applyBorder="0" applyAlignment="0" applyProtection="0"/>
    <xf numFmtId="165" fontId="199" fillId="0" borderId="0" applyFont="0" applyFill="0" applyBorder="0" applyAlignment="0" applyProtection="0"/>
    <xf numFmtId="165" fontId="199" fillId="0" borderId="0" applyFont="0" applyFill="0" applyBorder="0" applyAlignment="0" applyProtection="0"/>
    <xf numFmtId="279" fontId="199" fillId="0" borderId="0" applyFont="0" applyFill="0" applyBorder="0" applyAlignment="0" applyProtection="0"/>
    <xf numFmtId="196" fontId="199" fillId="0" borderId="0" applyFont="0" applyFill="0" applyBorder="0" applyAlignment="0" applyProtection="0"/>
    <xf numFmtId="196" fontId="199" fillId="0" borderId="0" applyFont="0" applyFill="0" applyBorder="0" applyAlignment="0" applyProtection="0"/>
    <xf numFmtId="279" fontId="199" fillId="0" borderId="0" applyFont="0" applyFill="0" applyBorder="0" applyAlignment="0" applyProtection="0"/>
    <xf numFmtId="279" fontId="199" fillId="0" borderId="0" applyFont="0" applyFill="0" applyBorder="0" applyAlignment="0" applyProtection="0"/>
    <xf numFmtId="165" fontId="199" fillId="0" borderId="0" applyFont="0" applyFill="0" applyBorder="0" applyAlignment="0" applyProtection="0"/>
    <xf numFmtId="43" fontId="199" fillId="0" borderId="0" applyFont="0" applyFill="0" applyBorder="0" applyAlignment="0" applyProtection="0"/>
    <xf numFmtId="196" fontId="199" fillId="0" borderId="0" applyFont="0" applyFill="0" applyBorder="0" applyAlignment="0" applyProtection="0"/>
    <xf numFmtId="279" fontId="199" fillId="0" borderId="0" applyFont="0" applyFill="0" applyBorder="0" applyAlignment="0" applyProtection="0"/>
    <xf numFmtId="279" fontId="199" fillId="0" borderId="0" applyFont="0" applyFill="0" applyBorder="0" applyAlignment="0" applyProtection="0"/>
    <xf numFmtId="43" fontId="199" fillId="0" borderId="0" applyFont="0" applyFill="0" applyBorder="0" applyAlignment="0" applyProtection="0"/>
    <xf numFmtId="279" fontId="199" fillId="0" borderId="0" applyFont="0" applyFill="0" applyBorder="0" applyAlignment="0" applyProtection="0"/>
    <xf numFmtId="43" fontId="199" fillId="0" borderId="0" applyFont="0" applyFill="0" applyBorder="0" applyAlignment="0" applyProtection="0"/>
    <xf numFmtId="196" fontId="199" fillId="0" borderId="0" applyFont="0" applyFill="0" applyBorder="0" applyAlignment="0" applyProtection="0"/>
    <xf numFmtId="43" fontId="199" fillId="0" borderId="0" applyFont="0" applyFill="0" applyBorder="0" applyAlignment="0" applyProtection="0"/>
    <xf numFmtId="285" fontId="199" fillId="0" borderId="0" applyFont="0" applyFill="0" applyBorder="0" applyAlignment="0" applyProtection="0"/>
    <xf numFmtId="286" fontId="199" fillId="0" borderId="0" applyFont="0" applyFill="0" applyBorder="0" applyAlignment="0" applyProtection="0"/>
    <xf numFmtId="43" fontId="199" fillId="0" borderId="0" applyFont="0" applyFill="0" applyBorder="0" applyAlignment="0" applyProtection="0"/>
    <xf numFmtId="281" fontId="309" fillId="0" borderId="0" applyFont="0" applyFill="0" applyBorder="0" applyAlignment="0" applyProtection="0"/>
    <xf numFmtId="197" fontId="309" fillId="0" borderId="0" applyFont="0" applyFill="0" applyBorder="0" applyAlignment="0" applyProtection="0"/>
    <xf numFmtId="197" fontId="309" fillId="0" borderId="0" applyFont="0" applyFill="0" applyBorder="0" applyAlignment="0" applyProtection="0"/>
    <xf numFmtId="284" fontId="309" fillId="0" borderId="0" applyFont="0" applyFill="0" applyBorder="0" applyAlignment="0" applyProtection="0"/>
    <xf numFmtId="196" fontId="309" fillId="0" borderId="0" applyFont="0" applyFill="0" applyBorder="0" applyAlignment="0" applyProtection="0"/>
    <xf numFmtId="42" fontId="199" fillId="0" borderId="0" applyFont="0" applyFill="0" applyBorder="0" applyAlignment="0" applyProtection="0"/>
    <xf numFmtId="0" fontId="215" fillId="0" borderId="0" applyNumberFormat="0" applyFill="0" applyBorder="0" applyAlignment="0" applyProtection="0"/>
    <xf numFmtId="0" fontId="215" fillId="0" borderId="0" applyNumberFormat="0" applyFill="0" applyBorder="0" applyAlignment="0" applyProtection="0"/>
    <xf numFmtId="0" fontId="215" fillId="0" borderId="0" applyNumberFormat="0" applyFill="0" applyBorder="0" applyAlignment="0" applyProtection="0"/>
    <xf numFmtId="0" fontId="215" fillId="0" borderId="0" applyNumberFormat="0" applyFill="0" applyBorder="0" applyAlignment="0" applyProtection="0"/>
    <xf numFmtId="42" fontId="199" fillId="0" borderId="0" applyFont="0" applyFill="0" applyBorder="0" applyAlignment="0" applyProtection="0"/>
    <xf numFmtId="0" fontId="167" fillId="0" borderId="0">
      <alignment vertical="top"/>
    </xf>
    <xf numFmtId="0" fontId="311" fillId="0" borderId="0">
      <alignment vertical="top"/>
    </xf>
    <xf numFmtId="0" fontId="167" fillId="0" borderId="0">
      <alignment vertical="top"/>
    </xf>
    <xf numFmtId="0" fontId="311" fillId="0" borderId="0">
      <alignment vertical="top"/>
    </xf>
    <xf numFmtId="0" fontId="167" fillId="0" borderId="0">
      <alignment vertical="top"/>
    </xf>
    <xf numFmtId="0" fontId="311" fillId="0" borderId="0">
      <alignment vertical="top"/>
    </xf>
    <xf numFmtId="0" fontId="215" fillId="0" borderId="0" applyNumberFormat="0" applyFill="0" applyBorder="0" applyAlignment="0" applyProtection="0"/>
    <xf numFmtId="0" fontId="215" fillId="0" borderId="0" applyNumberFormat="0" applyFill="0" applyBorder="0" applyAlignment="0" applyProtection="0"/>
    <xf numFmtId="0" fontId="262" fillId="0" borderId="0"/>
    <xf numFmtId="0" fontId="262" fillId="0" borderId="0"/>
    <xf numFmtId="206" fontId="312" fillId="0" borderId="0" applyFont="0" applyFill="0" applyBorder="0" applyAlignment="0" applyProtection="0"/>
    <xf numFmtId="246" fontId="266" fillId="0" borderId="0" applyFont="0" applyFill="0" applyBorder="0" applyAlignment="0" applyProtection="0"/>
    <xf numFmtId="247" fontId="266" fillId="0" borderId="0" applyFont="0" applyFill="0" applyBorder="0" applyAlignment="0" applyProtection="0"/>
    <xf numFmtId="0" fontId="212" fillId="0" borderId="0"/>
    <xf numFmtId="0" fontId="212" fillId="0" borderId="0"/>
    <xf numFmtId="0" fontId="212" fillId="0" borderId="0"/>
    <xf numFmtId="0" fontId="53" fillId="0" borderId="0"/>
    <xf numFmtId="1" fontId="213" fillId="0" borderId="21" applyBorder="0" applyAlignment="0">
      <alignment horizontal="center"/>
    </xf>
    <xf numFmtId="3" fontId="205" fillId="0" borderId="21"/>
    <xf numFmtId="3" fontId="205" fillId="0" borderId="21"/>
    <xf numFmtId="0" fontId="168" fillId="13" borderId="0"/>
    <xf numFmtId="0" fontId="214" fillId="13" borderId="0"/>
    <xf numFmtId="0" fontId="214" fillId="13" borderId="0"/>
    <xf numFmtId="206" fontId="312" fillId="0" borderId="0" applyFont="0" applyFill="0" applyBorder="0" applyAlignment="0" applyProtection="0"/>
    <xf numFmtId="206" fontId="312" fillId="0" borderId="0" applyFont="0" applyFill="0" applyBorder="0" applyAlignment="0" applyProtection="0"/>
    <xf numFmtId="206" fontId="312" fillId="0" borderId="0" applyFont="0" applyFill="0" applyBorder="0" applyAlignment="0" applyProtection="0"/>
    <xf numFmtId="206" fontId="312" fillId="0" borderId="0" applyFont="0" applyFill="0" applyBorder="0" applyAlignment="0" applyProtection="0"/>
    <xf numFmtId="0" fontId="168" fillId="13" borderId="0"/>
    <xf numFmtId="0" fontId="168" fillId="13" borderId="0"/>
    <xf numFmtId="0" fontId="214" fillId="13" borderId="0"/>
    <xf numFmtId="0" fontId="168" fillId="13" borderId="0"/>
    <xf numFmtId="0" fontId="214" fillId="13" borderId="0"/>
    <xf numFmtId="0" fontId="214" fillId="13" borderId="0"/>
    <xf numFmtId="0" fontId="214" fillId="13" borderId="0"/>
    <xf numFmtId="0" fontId="214" fillId="13" borderId="0"/>
    <xf numFmtId="206" fontId="312" fillId="0" borderId="0" applyFont="0" applyFill="0" applyBorder="0" applyAlignment="0" applyProtection="0"/>
    <xf numFmtId="0" fontId="168" fillId="13" borderId="0"/>
    <xf numFmtId="0" fontId="11" fillId="13" borderId="0"/>
    <xf numFmtId="0" fontId="214" fillId="13" borderId="0"/>
    <xf numFmtId="0" fontId="214" fillId="13" borderId="0"/>
    <xf numFmtId="0" fontId="214" fillId="13" borderId="0"/>
    <xf numFmtId="0" fontId="214" fillId="13" borderId="0"/>
    <xf numFmtId="0" fontId="214" fillId="13" borderId="0"/>
    <xf numFmtId="0" fontId="168" fillId="13" borderId="0"/>
    <xf numFmtId="0" fontId="168" fillId="13" borderId="0"/>
    <xf numFmtId="0" fontId="313" fillId="0" borderId="0" applyFont="0" applyFill="0" applyBorder="0" applyAlignment="0">
      <alignment horizontal="left"/>
    </xf>
    <xf numFmtId="0" fontId="313" fillId="0" borderId="0" applyFont="0" applyFill="0" applyBorder="0" applyAlignment="0">
      <alignment horizontal="left"/>
    </xf>
    <xf numFmtId="0" fontId="214" fillId="13" borderId="0"/>
    <xf numFmtId="0" fontId="214" fillId="13" borderId="0"/>
    <xf numFmtId="206" fontId="312" fillId="0" borderId="0" applyFont="0" applyFill="0" applyBorder="0" applyAlignment="0" applyProtection="0"/>
    <xf numFmtId="0" fontId="168" fillId="13" borderId="0"/>
    <xf numFmtId="0" fontId="168" fillId="13" borderId="0"/>
    <xf numFmtId="0" fontId="297" fillId="0" borderId="21" applyNumberFormat="0" applyFont="0" applyBorder="0">
      <alignment horizontal="left" indent="2"/>
    </xf>
    <xf numFmtId="0" fontId="297" fillId="0" borderId="21" applyNumberFormat="0" applyFont="0" applyBorder="0">
      <alignment horizontal="left" indent="2"/>
    </xf>
    <xf numFmtId="0" fontId="313" fillId="0" borderId="0" applyFont="0" applyFill="0" applyBorder="0" applyAlignment="0">
      <alignment horizontal="left"/>
    </xf>
    <xf numFmtId="0" fontId="313" fillId="0" borderId="0" applyFont="0" applyFill="0" applyBorder="0" applyAlignment="0">
      <alignment horizontal="left"/>
    </xf>
    <xf numFmtId="0" fontId="314" fillId="14" borderId="34" applyFont="0" applyFill="0" applyAlignment="0">
      <alignment vertical="center" wrapText="1"/>
    </xf>
    <xf numFmtId="9" fontId="315" fillId="0" borderId="0" applyBorder="0" applyAlignment="0" applyProtection="0"/>
    <xf numFmtId="0" fontId="169" fillId="13" borderId="0"/>
    <xf numFmtId="0" fontId="214" fillId="13" borderId="0"/>
    <xf numFmtId="0" fontId="214" fillId="13" borderId="0"/>
    <xf numFmtId="0" fontId="214" fillId="13" borderId="0"/>
    <xf numFmtId="0" fontId="169" fillId="13" borderId="0"/>
    <xf numFmtId="0" fontId="214" fillId="13" borderId="0"/>
    <xf numFmtId="0" fontId="214" fillId="13" borderId="0"/>
    <xf numFmtId="0" fontId="214" fillId="13" borderId="0"/>
    <xf numFmtId="0" fontId="214" fillId="13" borderId="0"/>
    <xf numFmtId="0" fontId="11" fillId="13" borderId="0"/>
    <xf numFmtId="0" fontId="214" fillId="13" borderId="0"/>
    <xf numFmtId="0" fontId="214" fillId="13" borderId="0"/>
    <xf numFmtId="0" fontId="214" fillId="13" borderId="0"/>
    <xf numFmtId="0" fontId="214" fillId="13" borderId="0"/>
    <xf numFmtId="0" fontId="214" fillId="13" borderId="0"/>
    <xf numFmtId="0" fontId="214" fillId="13" borderId="0"/>
    <xf numFmtId="0" fontId="214" fillId="13" borderId="0"/>
    <xf numFmtId="0" fontId="169" fillId="13" borderId="0"/>
    <xf numFmtId="0" fontId="297" fillId="0" borderId="21" applyNumberFormat="0" applyFont="0" applyBorder="0" applyAlignment="0">
      <alignment horizontal="center"/>
    </xf>
    <xf numFmtId="0" fontId="297" fillId="0" borderId="21" applyNumberFormat="0" applyFont="0" applyBorder="0" applyAlignment="0">
      <alignment horizontal="center"/>
    </xf>
    <xf numFmtId="0" fontId="11" fillId="0" borderId="0"/>
    <xf numFmtId="0" fontId="11" fillId="0" borderId="0"/>
    <xf numFmtId="0" fontId="275" fillId="15" borderId="0" applyNumberFormat="0" applyBorder="0" applyAlignment="0" applyProtection="0"/>
    <xf numFmtId="0" fontId="275" fillId="15" borderId="0" applyNumberFormat="0" applyBorder="0" applyAlignment="0" applyProtection="0"/>
    <xf numFmtId="0" fontId="275" fillId="16" borderId="0" applyNumberFormat="0" applyBorder="0" applyAlignment="0" applyProtection="0"/>
    <xf numFmtId="0" fontId="275" fillId="15" borderId="0" applyNumberFormat="0" applyBorder="0" applyAlignment="0" applyProtection="0"/>
    <xf numFmtId="0" fontId="275" fillId="17" borderId="0" applyNumberFormat="0" applyBorder="0" applyAlignment="0" applyProtection="0"/>
    <xf numFmtId="0" fontId="275" fillId="17" borderId="0" applyNumberFormat="0" applyBorder="0" applyAlignment="0" applyProtection="0"/>
    <xf numFmtId="0" fontId="275" fillId="18" borderId="0" applyNumberFormat="0" applyBorder="0" applyAlignment="0" applyProtection="0"/>
    <xf numFmtId="0" fontId="275" fillId="17" borderId="0" applyNumberFormat="0" applyBorder="0" applyAlignment="0" applyProtection="0"/>
    <xf numFmtId="0" fontId="275" fillId="19" borderId="0" applyNumberFormat="0" applyBorder="0" applyAlignment="0" applyProtection="0"/>
    <xf numFmtId="0" fontId="275" fillId="19" borderId="0" applyNumberFormat="0" applyBorder="0" applyAlignment="0" applyProtection="0"/>
    <xf numFmtId="0" fontId="275" fillId="20" borderId="0" applyNumberFormat="0" applyBorder="0" applyAlignment="0" applyProtection="0"/>
    <xf numFmtId="0" fontId="275" fillId="19" borderId="0" applyNumberFormat="0" applyBorder="0" applyAlignment="0" applyProtection="0"/>
    <xf numFmtId="0" fontId="275" fillId="21" borderId="0" applyNumberFormat="0" applyBorder="0" applyAlignment="0" applyProtection="0"/>
    <xf numFmtId="0" fontId="275" fillId="21" borderId="0" applyNumberFormat="0" applyBorder="0" applyAlignment="0" applyProtection="0"/>
    <xf numFmtId="0" fontId="275" fillId="22" borderId="0" applyNumberFormat="0" applyBorder="0" applyAlignment="0" applyProtection="0"/>
    <xf numFmtId="0" fontId="275" fillId="21" borderId="0" applyNumberFormat="0" applyBorder="0" applyAlignment="0" applyProtection="0"/>
    <xf numFmtId="0" fontId="275" fillId="16" borderId="0" applyNumberFormat="0" applyBorder="0" applyAlignment="0" applyProtection="0"/>
    <xf numFmtId="0" fontId="275" fillId="16" borderId="0" applyNumberFormat="0" applyBorder="0" applyAlignment="0" applyProtection="0"/>
    <xf numFmtId="0" fontId="275" fillId="15" borderId="0" applyNumberFormat="0" applyBorder="0" applyAlignment="0" applyProtection="0"/>
    <xf numFmtId="0" fontId="275" fillId="16" borderId="0" applyNumberFormat="0" applyBorder="0" applyAlignment="0" applyProtection="0"/>
    <xf numFmtId="0" fontId="275" fillId="18" borderId="0" applyNumberFormat="0" applyBorder="0" applyAlignment="0" applyProtection="0"/>
    <xf numFmtId="0" fontId="275" fillId="18" borderId="0" applyNumberFormat="0" applyBorder="0" applyAlignment="0" applyProtection="0"/>
    <xf numFmtId="0" fontId="275" fillId="19" borderId="0" applyNumberFormat="0" applyBorder="0" applyAlignment="0" applyProtection="0"/>
    <xf numFmtId="0" fontId="275" fillId="18" borderId="0" applyNumberFormat="0" applyBorder="0" applyAlignment="0" applyProtection="0"/>
    <xf numFmtId="0" fontId="275" fillId="15" borderId="0" applyNumberFormat="0" applyBorder="0" applyAlignment="0" applyProtection="0"/>
    <xf numFmtId="0" fontId="275" fillId="17" borderId="0" applyNumberFormat="0" applyBorder="0" applyAlignment="0" applyProtection="0"/>
    <xf numFmtId="0" fontId="275" fillId="19" borderId="0" applyNumberFormat="0" applyBorder="0" applyAlignment="0" applyProtection="0"/>
    <xf numFmtId="0" fontId="275" fillId="21" borderId="0" applyNumberFormat="0" applyBorder="0" applyAlignment="0" applyProtection="0"/>
    <xf numFmtId="0" fontId="275" fillId="16" borderId="0" applyNumberFormat="0" applyBorder="0" applyAlignment="0" applyProtection="0"/>
    <xf numFmtId="0" fontId="275" fillId="18" borderId="0" applyNumberFormat="0" applyBorder="0" applyAlignment="0" applyProtection="0"/>
    <xf numFmtId="0" fontId="64" fillId="0" borderId="0"/>
    <xf numFmtId="0" fontId="170" fillId="13" borderId="0"/>
    <xf numFmtId="0" fontId="214" fillId="13" borderId="0"/>
    <xf numFmtId="0" fontId="214" fillId="13" borderId="0"/>
    <xf numFmtId="0" fontId="214" fillId="13" borderId="0"/>
    <xf numFmtId="0" fontId="170" fillId="13" borderId="0"/>
    <xf numFmtId="0" fontId="214" fillId="13" borderId="0"/>
    <xf numFmtId="0" fontId="214" fillId="13" borderId="0"/>
    <xf numFmtId="0" fontId="214" fillId="13" borderId="0"/>
    <xf numFmtId="0" fontId="214" fillId="13" borderId="0"/>
    <xf numFmtId="0" fontId="11" fillId="13" borderId="0"/>
    <xf numFmtId="0" fontId="214" fillId="13" borderId="0"/>
    <xf numFmtId="0" fontId="214" fillId="13" borderId="0"/>
    <xf numFmtId="0" fontId="214" fillId="13" borderId="0"/>
    <xf numFmtId="0" fontId="214" fillId="13" borderId="0"/>
    <xf numFmtId="0" fontId="214" fillId="13" borderId="0"/>
    <xf numFmtId="0" fontId="214" fillId="13" borderId="0"/>
    <xf numFmtId="0" fontId="214" fillId="13" borderId="0"/>
    <xf numFmtId="0" fontId="170" fillId="13" borderId="0"/>
    <xf numFmtId="0" fontId="171" fillId="0" borderId="0">
      <alignment wrapText="1"/>
    </xf>
    <xf numFmtId="0" fontId="214" fillId="0" borderId="0">
      <alignment wrapText="1"/>
    </xf>
    <xf numFmtId="0" fontId="214" fillId="0" borderId="0">
      <alignment wrapText="1"/>
    </xf>
    <xf numFmtId="0" fontId="214" fillId="0" borderId="0">
      <alignment wrapText="1"/>
    </xf>
    <xf numFmtId="0" fontId="171" fillId="0" borderId="0">
      <alignment wrapText="1"/>
    </xf>
    <xf numFmtId="0" fontId="214" fillId="0" borderId="0">
      <alignment wrapText="1"/>
    </xf>
    <xf numFmtId="0" fontId="214" fillId="0" borderId="0">
      <alignment wrapText="1"/>
    </xf>
    <xf numFmtId="0" fontId="214" fillId="0" borderId="0">
      <alignment wrapText="1"/>
    </xf>
    <xf numFmtId="0" fontId="214" fillId="0" borderId="0">
      <alignment wrapText="1"/>
    </xf>
    <xf numFmtId="0" fontId="11" fillId="0" borderId="0">
      <alignment wrapText="1"/>
    </xf>
    <xf numFmtId="0" fontId="214" fillId="0" borderId="0">
      <alignment wrapText="1"/>
    </xf>
    <xf numFmtId="0" fontId="214" fillId="0" borderId="0">
      <alignment wrapText="1"/>
    </xf>
    <xf numFmtId="0" fontId="214" fillId="0" borderId="0">
      <alignment wrapText="1"/>
    </xf>
    <xf numFmtId="0" fontId="214" fillId="0" borderId="0">
      <alignment wrapText="1"/>
    </xf>
    <xf numFmtId="0" fontId="214" fillId="0" borderId="0">
      <alignment wrapText="1"/>
    </xf>
    <xf numFmtId="0" fontId="214" fillId="0" borderId="0">
      <alignment wrapText="1"/>
    </xf>
    <xf numFmtId="0" fontId="214" fillId="0" borderId="0">
      <alignment wrapText="1"/>
    </xf>
    <xf numFmtId="0" fontId="171" fillId="0" borderId="0">
      <alignment wrapText="1"/>
    </xf>
    <xf numFmtId="0" fontId="275" fillId="23" borderId="0" applyNumberFormat="0" applyBorder="0" applyAlignment="0" applyProtection="0"/>
    <xf numFmtId="0" fontId="275" fillId="23" borderId="0" applyNumberFormat="0" applyBorder="0" applyAlignment="0" applyProtection="0"/>
    <xf numFmtId="0" fontId="275" fillId="23" borderId="0" applyNumberFormat="0" applyBorder="0" applyAlignment="0" applyProtection="0"/>
    <xf numFmtId="0" fontId="275" fillId="24" borderId="0" applyNumberFormat="0" applyBorder="0" applyAlignment="0" applyProtection="0"/>
    <xf numFmtId="0" fontId="275" fillId="24" borderId="0" applyNumberFormat="0" applyBorder="0" applyAlignment="0" applyProtection="0"/>
    <xf numFmtId="0" fontId="275" fillId="18" borderId="0" applyNumberFormat="0" applyBorder="0" applyAlignment="0" applyProtection="0"/>
    <xf numFmtId="0" fontId="275" fillId="24" borderId="0" applyNumberFormat="0" applyBorder="0" applyAlignment="0" applyProtection="0"/>
    <xf numFmtId="0" fontId="275" fillId="25" borderId="0" applyNumberFormat="0" applyBorder="0" applyAlignment="0" applyProtection="0"/>
    <xf numFmtId="0" fontId="275" fillId="25" borderId="0" applyNumberFormat="0" applyBorder="0" applyAlignment="0" applyProtection="0"/>
    <xf numFmtId="0" fontId="275" fillId="26" borderId="0" applyNumberFormat="0" applyBorder="0" applyAlignment="0" applyProtection="0"/>
    <xf numFmtId="0" fontId="275" fillId="25" borderId="0" applyNumberFormat="0" applyBorder="0" applyAlignment="0" applyProtection="0"/>
    <xf numFmtId="0" fontId="275" fillId="21" borderId="0" applyNumberFormat="0" applyBorder="0" applyAlignment="0" applyProtection="0"/>
    <xf numFmtId="0" fontId="275" fillId="21" borderId="0" applyNumberFormat="0" applyBorder="0" applyAlignment="0" applyProtection="0"/>
    <xf numFmtId="0" fontId="275" fillId="27" borderId="0" applyNumberFormat="0" applyBorder="0" applyAlignment="0" applyProtection="0"/>
    <xf numFmtId="0" fontId="275" fillId="21" borderId="0" applyNumberFormat="0" applyBorder="0" applyAlignment="0" applyProtection="0"/>
    <xf numFmtId="0" fontId="275" fillId="23" borderId="0" applyNumberFormat="0" applyBorder="0" applyAlignment="0" applyProtection="0"/>
    <xf numFmtId="0" fontId="275" fillId="23" borderId="0" applyNumberFormat="0" applyBorder="0" applyAlignment="0" applyProtection="0"/>
    <xf numFmtId="0" fontId="275" fillId="23" borderId="0" applyNumberFormat="0" applyBorder="0" applyAlignment="0" applyProtection="0"/>
    <xf numFmtId="0" fontId="275" fillId="28" borderId="0" applyNumberFormat="0" applyBorder="0" applyAlignment="0" applyProtection="0"/>
    <xf numFmtId="0" fontId="275" fillId="28" borderId="0" applyNumberFormat="0" applyBorder="0" applyAlignment="0" applyProtection="0"/>
    <xf numFmtId="0" fontId="275" fillId="27" borderId="0" applyNumberFormat="0" applyBorder="0" applyAlignment="0" applyProtection="0"/>
    <xf numFmtId="0" fontId="275" fillId="28" borderId="0" applyNumberFormat="0" applyBorder="0" applyAlignment="0" applyProtection="0"/>
    <xf numFmtId="0" fontId="275" fillId="23" borderId="0" applyNumberFormat="0" applyBorder="0" applyAlignment="0" applyProtection="0"/>
    <xf numFmtId="0" fontId="275" fillId="24" borderId="0" applyNumberFormat="0" applyBorder="0" applyAlignment="0" applyProtection="0"/>
    <xf numFmtId="0" fontId="275" fillId="25" borderId="0" applyNumberFormat="0" applyBorder="0" applyAlignment="0" applyProtection="0"/>
    <xf numFmtId="0" fontId="275" fillId="21" borderId="0" applyNumberFormat="0" applyBorder="0" applyAlignment="0" applyProtection="0"/>
    <xf numFmtId="0" fontId="275" fillId="23" borderId="0" applyNumberFormat="0" applyBorder="0" applyAlignment="0" applyProtection="0"/>
    <xf numFmtId="0" fontId="275" fillId="28" borderId="0" applyNumberFormat="0" applyBorder="0" applyAlignment="0" applyProtection="0"/>
    <xf numFmtId="167" fontId="298" fillId="0" borderId="13" applyNumberFormat="0" applyFont="0" applyBorder="0" applyAlignment="0">
      <alignment horizontal="center" vertical="center"/>
    </xf>
    <xf numFmtId="0" fontId="11"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11" fillId="0" borderId="0"/>
    <xf numFmtId="0" fontId="276" fillId="29" borderId="0" applyNumberFormat="0" applyBorder="0" applyAlignment="0" applyProtection="0"/>
    <xf numFmtId="0" fontId="276" fillId="29" borderId="0" applyNumberFormat="0" applyBorder="0" applyAlignment="0" applyProtection="0"/>
    <xf numFmtId="0" fontId="276" fillId="23" borderId="0" applyNumberFormat="0" applyBorder="0" applyAlignment="0" applyProtection="0"/>
    <xf numFmtId="0" fontId="276" fillId="29" borderId="0" applyNumberFormat="0" applyBorder="0" applyAlignment="0" applyProtection="0"/>
    <xf numFmtId="0" fontId="276" fillId="24" borderId="0" applyNumberFormat="0" applyBorder="0" applyAlignment="0" applyProtection="0"/>
    <xf numFmtId="0" fontId="276" fillId="24" borderId="0" applyNumberFormat="0" applyBorder="0" applyAlignment="0" applyProtection="0"/>
    <xf numFmtId="0" fontId="276" fillId="18" borderId="0" applyNumberFormat="0" applyBorder="0" applyAlignment="0" applyProtection="0"/>
    <xf numFmtId="0" fontId="276" fillId="24" borderId="0" applyNumberFormat="0" applyBorder="0" applyAlignment="0" applyProtection="0"/>
    <xf numFmtId="0" fontId="276" fillId="25" borderId="0" applyNumberFormat="0" applyBorder="0" applyAlignment="0" applyProtection="0"/>
    <xf numFmtId="0" fontId="276" fillId="25" borderId="0" applyNumberFormat="0" applyBorder="0" applyAlignment="0" applyProtection="0"/>
    <xf numFmtId="0" fontId="276" fillId="26" borderId="0" applyNumberFormat="0" applyBorder="0" applyAlignment="0" applyProtection="0"/>
    <xf numFmtId="0" fontId="276" fillId="25" borderId="0" applyNumberFormat="0" applyBorder="0" applyAlignment="0" applyProtection="0"/>
    <xf numFmtId="0" fontId="276" fillId="30" borderId="0" applyNumberFormat="0" applyBorder="0" applyAlignment="0" applyProtection="0"/>
    <xf numFmtId="0" fontId="276" fillId="30" borderId="0" applyNumberFormat="0" applyBorder="0" applyAlignment="0" applyProtection="0"/>
    <xf numFmtId="0" fontId="276" fillId="27" borderId="0" applyNumberFormat="0" applyBorder="0" applyAlignment="0" applyProtection="0"/>
    <xf numFmtId="0" fontId="276" fillId="30" borderId="0" applyNumberFormat="0" applyBorder="0" applyAlignment="0" applyProtection="0"/>
    <xf numFmtId="0" fontId="276" fillId="31" borderId="0" applyNumberFormat="0" applyBorder="0" applyAlignment="0" applyProtection="0"/>
    <xf numFmtId="0" fontId="276" fillId="31" borderId="0" applyNumberFormat="0" applyBorder="0" applyAlignment="0" applyProtection="0"/>
    <xf numFmtId="0" fontId="276" fillId="31" borderId="0" applyNumberFormat="0" applyBorder="0" applyAlignment="0" applyProtection="0"/>
    <xf numFmtId="0" fontId="276" fillId="32" borderId="0" applyNumberFormat="0" applyBorder="0" applyAlignment="0" applyProtection="0"/>
    <xf numFmtId="0" fontId="276" fillId="32" borderId="0" applyNumberFormat="0" applyBorder="0" applyAlignment="0" applyProtection="0"/>
    <xf numFmtId="0" fontId="276" fillId="33" borderId="0" applyNumberFormat="0" applyBorder="0" applyAlignment="0" applyProtection="0"/>
    <xf numFmtId="0" fontId="276" fillId="32" borderId="0" applyNumberFormat="0" applyBorder="0" applyAlignment="0" applyProtection="0"/>
    <xf numFmtId="0" fontId="80" fillId="0" borderId="0"/>
    <xf numFmtId="0" fontId="80" fillId="0" borderId="0"/>
    <xf numFmtId="0" fontId="267" fillId="0" borderId="0"/>
    <xf numFmtId="0" fontId="276" fillId="34" borderId="0" applyNumberFormat="0" applyBorder="0" applyAlignment="0" applyProtection="0"/>
    <xf numFmtId="0" fontId="276" fillId="34" borderId="0" applyNumberFormat="0" applyBorder="0" applyAlignment="0" applyProtection="0"/>
    <xf numFmtId="0" fontId="276" fillId="31" borderId="0" applyNumberFormat="0" applyBorder="0" applyAlignment="0" applyProtection="0"/>
    <xf numFmtId="0" fontId="276" fillId="34" borderId="0" applyNumberFormat="0" applyBorder="0" applyAlignment="0" applyProtection="0"/>
    <xf numFmtId="0" fontId="276" fillId="35" borderId="0" applyNumberFormat="0" applyBorder="0" applyAlignment="0" applyProtection="0"/>
    <xf numFmtId="0" fontId="276" fillId="35" borderId="0" applyNumberFormat="0" applyBorder="0" applyAlignment="0" applyProtection="0"/>
    <xf numFmtId="0" fontId="276" fillId="36" borderId="0" applyNumberFormat="0" applyBorder="0" applyAlignment="0" applyProtection="0"/>
    <xf numFmtId="0" fontId="276" fillId="35" borderId="0" applyNumberFormat="0" applyBorder="0" applyAlignment="0" applyProtection="0"/>
    <xf numFmtId="0" fontId="276" fillId="33" borderId="0" applyNumberFormat="0" applyBorder="0" applyAlignment="0" applyProtection="0"/>
    <xf numFmtId="0" fontId="276" fillId="33" borderId="0" applyNumberFormat="0" applyBorder="0" applyAlignment="0" applyProtection="0"/>
    <xf numFmtId="0" fontId="276" fillId="37" borderId="0" applyNumberFormat="0" applyBorder="0" applyAlignment="0" applyProtection="0"/>
    <xf numFmtId="0" fontId="276" fillId="33" borderId="0" applyNumberFormat="0" applyBorder="0" applyAlignment="0" applyProtection="0"/>
    <xf numFmtId="0" fontId="276" fillId="30" borderId="0" applyNumberFormat="0" applyBorder="0" applyAlignment="0" applyProtection="0"/>
    <xf numFmtId="0" fontId="276" fillId="30" borderId="0" applyNumberFormat="0" applyBorder="0" applyAlignment="0" applyProtection="0"/>
    <xf numFmtId="0" fontId="276" fillId="28" borderId="0" applyNumberFormat="0" applyBorder="0" applyAlignment="0" applyProtection="0"/>
    <xf numFmtId="0" fontId="276" fillId="30" borderId="0" applyNumberFormat="0" applyBorder="0" applyAlignment="0" applyProtection="0"/>
    <xf numFmtId="0" fontId="276" fillId="31" borderId="0" applyNumberFormat="0" applyBorder="0" applyAlignment="0" applyProtection="0"/>
    <xf numFmtId="0" fontId="276" fillId="31" borderId="0" applyNumberFormat="0" applyBorder="0" applyAlignment="0" applyProtection="0"/>
    <xf numFmtId="0" fontId="276" fillId="34" borderId="0" applyNumberFormat="0" applyBorder="0" applyAlignment="0" applyProtection="0"/>
    <xf numFmtId="0" fontId="276" fillId="31" borderId="0" applyNumberFormat="0" applyBorder="0" applyAlignment="0" applyProtection="0"/>
    <xf numFmtId="0" fontId="276" fillId="36" borderId="0" applyNumberFormat="0" applyBorder="0" applyAlignment="0" applyProtection="0"/>
    <xf numFmtId="0" fontId="276" fillId="36" borderId="0" applyNumberFormat="0" applyBorder="0" applyAlignment="0" applyProtection="0"/>
    <xf numFmtId="0" fontId="276" fillId="33" borderId="0" applyNumberFormat="0" applyBorder="0" applyAlignment="0" applyProtection="0"/>
    <xf numFmtId="0" fontId="276" fillId="36" borderId="0" applyNumberFormat="0" applyBorder="0" applyAlignment="0" applyProtection="0"/>
    <xf numFmtId="292" fontId="316" fillId="0" borderId="0" applyFont="0" applyFill="0" applyBorder="0" applyAlignment="0" applyProtection="0"/>
    <xf numFmtId="0" fontId="173" fillId="0" borderId="0" applyFont="0" applyFill="0" applyBorder="0" applyAlignment="0" applyProtection="0"/>
    <xf numFmtId="293" fontId="317" fillId="0" borderId="0" applyFont="0" applyFill="0" applyBorder="0" applyAlignment="0" applyProtection="0"/>
    <xf numFmtId="294" fontId="316" fillId="0" borderId="0" applyFont="0" applyFill="0" applyBorder="0" applyAlignment="0" applyProtection="0"/>
    <xf numFmtId="0" fontId="173" fillId="0" borderId="0" applyFont="0" applyFill="0" applyBorder="0" applyAlignment="0" applyProtection="0"/>
    <xf numFmtId="295" fontId="316" fillId="0" borderId="0" applyFont="0" applyFill="0" applyBorder="0" applyAlignment="0" applyProtection="0"/>
    <xf numFmtId="0" fontId="51" fillId="0" borderId="0">
      <alignment horizontal="center" wrapText="1"/>
      <protection locked="0"/>
    </xf>
    <xf numFmtId="0" fontId="318" fillId="0" borderId="0" applyNumberFormat="0" applyBorder="0" applyAlignment="0">
      <alignment horizontal="center"/>
    </xf>
    <xf numFmtId="207" fontId="268" fillId="0" borderId="0" applyFont="0" applyFill="0" applyBorder="0" applyAlignment="0" applyProtection="0"/>
    <xf numFmtId="0" fontId="173" fillId="0" borderId="0" applyFont="0" applyFill="0" applyBorder="0" applyAlignment="0" applyProtection="0"/>
    <xf numFmtId="207" fontId="268" fillId="0" borderId="0" applyFont="0" applyFill="0" applyBorder="0" applyAlignment="0" applyProtection="0"/>
    <xf numFmtId="208" fontId="268" fillId="0" borderId="0" applyFont="0" applyFill="0" applyBorder="0" applyAlignment="0" applyProtection="0"/>
    <xf numFmtId="0" fontId="173" fillId="0" borderId="0" applyFont="0" applyFill="0" applyBorder="0" applyAlignment="0" applyProtection="0"/>
    <xf numFmtId="208" fontId="268" fillId="0" borderId="0" applyFont="0" applyFill="0" applyBorder="0" applyAlignment="0" applyProtection="0"/>
    <xf numFmtId="281" fontId="309" fillId="0" borderId="0" applyFont="0" applyFill="0" applyBorder="0" applyAlignment="0" applyProtection="0"/>
    <xf numFmtId="0" fontId="277" fillId="17" borderId="0" applyNumberFormat="0" applyBorder="0" applyAlignment="0" applyProtection="0"/>
    <xf numFmtId="0" fontId="277" fillId="17" borderId="0" applyNumberFormat="0" applyBorder="0" applyAlignment="0" applyProtection="0"/>
    <xf numFmtId="0" fontId="277" fillId="17" borderId="0" applyNumberFormat="0" applyBorder="0" applyAlignment="0" applyProtection="0"/>
    <xf numFmtId="0" fontId="216" fillId="0" borderId="0"/>
    <xf numFmtId="0" fontId="11" fillId="0" borderId="0"/>
    <xf numFmtId="0" fontId="11" fillId="0" borderId="0"/>
    <xf numFmtId="0" fontId="354" fillId="0" borderId="0"/>
    <xf numFmtId="0" fontId="1" fillId="0" borderId="0"/>
    <xf numFmtId="0" fontId="174" fillId="0" borderId="0" applyNumberFormat="0" applyFill="0" applyBorder="0" applyAlignment="0" applyProtection="0"/>
    <xf numFmtId="0" fontId="173" fillId="0" borderId="0"/>
    <xf numFmtId="0" fontId="164" fillId="0" borderId="0"/>
    <xf numFmtId="0" fontId="53" fillId="0" borderId="0"/>
    <xf numFmtId="0" fontId="173" fillId="0" borderId="0"/>
    <xf numFmtId="0" fontId="175" fillId="0" borderId="0"/>
    <xf numFmtId="0" fontId="269" fillId="0" borderId="0"/>
    <xf numFmtId="0" fontId="270" fillId="0" borderId="0"/>
    <xf numFmtId="0" fontId="214" fillId="0" borderId="0"/>
    <xf numFmtId="0" fontId="319" fillId="0" borderId="0"/>
    <xf numFmtId="209" fontId="160" fillId="0" borderId="0" applyFill="0" applyBorder="0" applyAlignment="0"/>
    <xf numFmtId="263" fontId="64" fillId="0" borderId="0" applyFill="0" applyBorder="0" applyAlignment="0"/>
    <xf numFmtId="224" fontId="217" fillId="0" borderId="0" applyFill="0" applyBorder="0" applyAlignment="0"/>
    <xf numFmtId="172" fontId="217" fillId="0" borderId="0" applyFill="0" applyBorder="0" applyAlignment="0"/>
    <xf numFmtId="225" fontId="217" fillId="0" borderId="0" applyFill="0" applyBorder="0" applyAlignment="0"/>
    <xf numFmtId="225" fontId="217" fillId="0" borderId="0" applyFill="0" applyBorder="0" applyAlignment="0"/>
    <xf numFmtId="264" fontId="215" fillId="0" borderId="0" applyFill="0" applyBorder="0" applyAlignment="0"/>
    <xf numFmtId="226" fontId="64" fillId="0" borderId="0" applyFill="0" applyBorder="0" applyAlignment="0"/>
    <xf numFmtId="226" fontId="64" fillId="0" borderId="0" applyFill="0" applyBorder="0" applyAlignment="0"/>
    <xf numFmtId="265" fontId="215" fillId="0" borderId="0" applyFill="0" applyBorder="0" applyAlignment="0"/>
    <xf numFmtId="198" fontId="217" fillId="0" borderId="0" applyFill="0" applyBorder="0" applyAlignment="0"/>
    <xf numFmtId="198" fontId="217" fillId="0" borderId="0" applyFill="0" applyBorder="0" applyAlignment="0"/>
    <xf numFmtId="266" fontId="215" fillId="0" borderId="0" applyFill="0" applyBorder="0" applyAlignment="0"/>
    <xf numFmtId="227" fontId="217" fillId="0" borderId="0" applyFill="0" applyBorder="0" applyAlignment="0"/>
    <xf numFmtId="227" fontId="217" fillId="0" borderId="0" applyFill="0" applyBorder="0" applyAlignment="0"/>
    <xf numFmtId="267" fontId="215" fillId="0" borderId="0" applyFill="0" applyBorder="0" applyAlignment="0"/>
    <xf numFmtId="224" fontId="217" fillId="0" borderId="0" applyFill="0" applyBorder="0" applyAlignment="0"/>
    <xf numFmtId="0" fontId="278" fillId="26" borderId="35" applyNumberFormat="0" applyAlignment="0" applyProtection="0"/>
    <xf numFmtId="0" fontId="278" fillId="26" borderId="35" applyNumberFormat="0" applyAlignment="0" applyProtection="0"/>
    <xf numFmtId="0" fontId="278" fillId="26" borderId="35" applyNumberFormat="0" applyAlignment="0" applyProtection="0"/>
    <xf numFmtId="0" fontId="176" fillId="0" borderId="0"/>
    <xf numFmtId="228" fontId="218" fillId="0" borderId="33" applyBorder="0"/>
    <xf numFmtId="228" fontId="219" fillId="0" borderId="5">
      <protection locked="0"/>
    </xf>
    <xf numFmtId="296" fontId="199" fillId="0" borderId="0" applyFont="0" applyFill="0" applyBorder="0" applyAlignment="0" applyProtection="0"/>
    <xf numFmtId="229" fontId="220" fillId="0" borderId="5"/>
    <xf numFmtId="0" fontId="279" fillId="37" borderId="36" applyNumberFormat="0" applyAlignment="0" applyProtection="0"/>
    <xf numFmtId="0" fontId="279" fillId="37" borderId="36" applyNumberFormat="0" applyAlignment="0" applyProtection="0"/>
    <xf numFmtId="0" fontId="279" fillId="37" borderId="36" applyNumberFormat="0" applyAlignment="0" applyProtection="0"/>
    <xf numFmtId="167" fontId="245" fillId="0" borderId="0" applyFont="0" applyFill="0" applyBorder="0" applyAlignment="0" applyProtection="0"/>
    <xf numFmtId="0" fontId="11" fillId="0" borderId="0"/>
    <xf numFmtId="0" fontId="11" fillId="0" borderId="0"/>
    <xf numFmtId="0" fontId="64" fillId="0" borderId="0"/>
    <xf numFmtId="0" fontId="11" fillId="0" borderId="0"/>
    <xf numFmtId="0" fontId="11" fillId="0" borderId="0"/>
    <xf numFmtId="1" fontId="221" fillId="0" borderId="11" applyBorder="0"/>
    <xf numFmtId="210" fontId="177" fillId="0" borderId="0"/>
    <xf numFmtId="210" fontId="177" fillId="0" borderId="0"/>
    <xf numFmtId="172" fontId="215" fillId="0" borderId="0"/>
    <xf numFmtId="210" fontId="177" fillId="0" borderId="0"/>
    <xf numFmtId="210" fontId="177" fillId="0" borderId="0"/>
    <xf numFmtId="172" fontId="215" fillId="0" borderId="0"/>
    <xf numFmtId="210" fontId="177" fillId="0" borderId="0"/>
    <xf numFmtId="210" fontId="177" fillId="0" borderId="0"/>
    <xf numFmtId="172" fontId="215" fillId="0" borderId="0"/>
    <xf numFmtId="210" fontId="177" fillId="0" borderId="0"/>
    <xf numFmtId="210" fontId="177" fillId="0" borderId="0"/>
    <xf numFmtId="172" fontId="215" fillId="0" borderId="0"/>
    <xf numFmtId="210" fontId="177" fillId="0" borderId="0"/>
    <xf numFmtId="210" fontId="177" fillId="0" borderId="0"/>
    <xf numFmtId="172" fontId="215" fillId="0" borderId="0"/>
    <xf numFmtId="210" fontId="177" fillId="0" borderId="0"/>
    <xf numFmtId="210" fontId="177" fillId="0" borderId="0"/>
    <xf numFmtId="172" fontId="215" fillId="0" borderId="0"/>
    <xf numFmtId="210" fontId="177" fillId="0" borderId="0"/>
    <xf numFmtId="210" fontId="177" fillId="0" borderId="0"/>
    <xf numFmtId="172" fontId="215" fillId="0" borderId="0"/>
    <xf numFmtId="210" fontId="177" fillId="0" borderId="0"/>
    <xf numFmtId="210" fontId="177" fillId="0" borderId="0"/>
    <xf numFmtId="172" fontId="215" fillId="0" borderId="0"/>
    <xf numFmtId="41" fontId="265" fillId="0" borderId="0" applyFont="0" applyFill="0" applyBorder="0" applyAlignment="0" applyProtection="0"/>
    <xf numFmtId="275" fontId="64" fillId="0" borderId="0" applyFont="0" applyFill="0" applyBorder="0" applyAlignment="0" applyProtection="0"/>
    <xf numFmtId="41" fontId="64" fillId="0" borderId="0" applyFont="0" applyFill="0" applyBorder="0" applyAlignment="0" applyProtection="0"/>
    <xf numFmtId="297" fontId="320" fillId="0" borderId="0" applyFont="0" applyFill="0" applyBorder="0" applyAlignment="0" applyProtection="0"/>
    <xf numFmtId="41" fontId="343" fillId="0" borderId="0" applyFont="0" applyFill="0" applyBorder="0" applyAlignment="0" applyProtection="0"/>
    <xf numFmtId="196" fontId="215" fillId="0" borderId="0" applyFont="0" applyFill="0" applyBorder="0" applyAlignment="0" applyProtection="0"/>
    <xf numFmtId="164" fontId="215" fillId="0" borderId="0" applyFont="0" applyFill="0" applyBorder="0" applyAlignment="0" applyProtection="0"/>
    <xf numFmtId="164" fontId="64" fillId="0" borderId="0" applyFont="0" applyFill="0" applyBorder="0" applyAlignment="0" applyProtection="0"/>
    <xf numFmtId="41" fontId="215" fillId="0" borderId="0" applyFont="0" applyFill="0" applyBorder="0" applyAlignment="0" applyProtection="0"/>
    <xf numFmtId="195" fontId="215" fillId="0" borderId="0" applyFont="0" applyFill="0" applyBorder="0" applyAlignment="0" applyProtection="0"/>
    <xf numFmtId="207" fontId="275" fillId="0" borderId="0" applyFont="0" applyFill="0" applyBorder="0" applyAlignment="0" applyProtection="0"/>
    <xf numFmtId="164" fontId="37" fillId="0" borderId="0" applyFont="0" applyFill="0" applyBorder="0" applyAlignment="0" applyProtection="0"/>
    <xf numFmtId="41" fontId="64" fillId="0" borderId="0" applyFont="0" applyFill="0" applyBorder="0" applyAlignment="0" applyProtection="0"/>
    <xf numFmtId="41" fontId="64" fillId="0" borderId="0" applyFont="0" applyFill="0" applyBorder="0" applyAlignment="0" applyProtection="0"/>
    <xf numFmtId="322" fontId="64" fillId="0" borderId="0" applyFont="0" applyFill="0" applyBorder="0" applyAlignment="0" applyProtection="0"/>
    <xf numFmtId="195" fontId="23" fillId="0" borderId="0" applyFont="0" applyFill="0" applyBorder="0" applyAlignment="0" applyProtection="0"/>
    <xf numFmtId="198" fontId="217" fillId="0" borderId="0" applyFont="0" applyFill="0" applyBorder="0" applyAlignment="0" applyProtection="0"/>
    <xf numFmtId="198" fontId="217" fillId="0" borderId="0" applyFont="0" applyFill="0" applyBorder="0" applyAlignment="0" applyProtection="0"/>
    <xf numFmtId="266" fontId="215" fillId="0" borderId="0" applyFont="0" applyFill="0" applyBorder="0" applyAlignment="0" applyProtection="0"/>
    <xf numFmtId="43" fontId="275" fillId="0" borderId="0" applyFont="0" applyFill="0" applyBorder="0" applyAlignment="0" applyProtection="0"/>
    <xf numFmtId="43" fontId="275" fillId="0" borderId="0" applyFont="0" applyFill="0" applyBorder="0" applyAlignment="0" applyProtection="0"/>
    <xf numFmtId="43" fontId="64" fillId="0" borderId="0" applyFont="0" applyFill="0" applyBorder="0" applyAlignment="0" applyProtection="0"/>
    <xf numFmtId="43" fontId="275" fillId="0" borderId="0" applyFont="0" applyFill="0" applyBorder="0" applyAlignment="0" applyProtection="0"/>
    <xf numFmtId="43" fontId="321" fillId="0" borderId="0" applyFont="0" applyFill="0" applyBorder="0" applyAlignment="0" applyProtection="0"/>
    <xf numFmtId="258" fontId="11" fillId="0" borderId="0" applyFont="0" applyFill="0" applyBorder="0" applyAlignment="0" applyProtection="0"/>
    <xf numFmtId="258" fontId="11" fillId="0" borderId="0" applyFont="0" applyFill="0" applyBorder="0" applyAlignment="0" applyProtection="0"/>
    <xf numFmtId="258" fontId="11" fillId="0" borderId="0" applyFont="0" applyFill="0" applyBorder="0" applyAlignment="0" applyProtection="0"/>
    <xf numFmtId="258" fontId="11" fillId="0" borderId="0" applyFont="0" applyFill="0" applyBorder="0" applyAlignment="0" applyProtection="0"/>
    <xf numFmtId="43" fontId="275" fillId="0" borderId="0" applyFont="0" applyFill="0" applyBorder="0" applyAlignment="0" applyProtection="0"/>
    <xf numFmtId="43" fontId="80" fillId="0" borderId="0" applyFont="0" applyFill="0" applyBorder="0" applyAlignment="0" applyProtection="0"/>
    <xf numFmtId="260" fontId="37" fillId="0" borderId="0" applyFont="0" applyFill="0" applyBorder="0" applyAlignment="0" applyProtection="0"/>
    <xf numFmtId="43" fontId="321" fillId="0" borderId="0" applyFont="0" applyFill="0" applyBorder="0" applyAlignment="0" applyProtection="0"/>
    <xf numFmtId="43" fontId="64" fillId="0" borderId="0" applyFont="0" applyFill="0" applyBorder="0" applyAlignment="0" applyProtection="0"/>
    <xf numFmtId="43" fontId="321" fillId="0" borderId="0" applyFont="0" applyFill="0" applyBorder="0" applyAlignment="0" applyProtection="0"/>
    <xf numFmtId="43" fontId="64" fillId="0" borderId="0" applyFont="0" applyFill="0" applyBorder="0" applyAlignment="0" applyProtection="0"/>
    <xf numFmtId="208" fontId="275" fillId="0" borderId="0" applyFont="0" applyFill="0" applyBorder="0" applyAlignment="0" applyProtection="0"/>
    <xf numFmtId="204" fontId="64" fillId="0" borderId="0" applyFont="0" applyFill="0" applyBorder="0" applyAlignment="0" applyProtection="0"/>
    <xf numFmtId="43" fontId="275" fillId="0" borderId="0" applyFont="0" applyFill="0" applyBorder="0" applyAlignment="0" applyProtection="0"/>
    <xf numFmtId="43" fontId="64" fillId="0" borderId="0" applyFont="0" applyFill="0" applyBorder="0" applyAlignment="0" applyProtection="0"/>
    <xf numFmtId="165" fontId="13" fillId="0" borderId="0" applyFont="0" applyFill="0" applyBorder="0" applyAlignment="0" applyProtection="0"/>
    <xf numFmtId="43" fontId="321" fillId="0" borderId="0" applyFont="0" applyFill="0" applyBorder="0" applyAlignment="0" applyProtection="0"/>
    <xf numFmtId="204" fontId="64" fillId="0" borderId="0" applyFont="0" applyFill="0" applyBorder="0" applyAlignment="0" applyProtection="0"/>
    <xf numFmtId="165" fontId="275" fillId="0" borderId="0" applyFont="0" applyFill="0" applyBorder="0" applyAlignment="0" applyProtection="0"/>
    <xf numFmtId="43" fontId="64" fillId="0" borderId="0" applyFont="0" applyFill="0" applyBorder="0" applyAlignment="0" applyProtection="0"/>
    <xf numFmtId="165" fontId="275" fillId="0" borderId="0" applyFont="0" applyFill="0" applyBorder="0" applyAlignment="0" applyProtection="0"/>
    <xf numFmtId="43" fontId="77" fillId="0" borderId="0" applyFont="0" applyFill="0" applyBorder="0" applyAlignment="0" applyProtection="0"/>
    <xf numFmtId="204" fontId="64" fillId="0" borderId="0" applyFont="0" applyFill="0" applyBorder="0" applyAlignment="0" applyProtection="0"/>
    <xf numFmtId="165" fontId="37" fillId="0" borderId="0" applyFont="0" applyFill="0" applyBorder="0" applyAlignment="0" applyProtection="0"/>
    <xf numFmtId="204" fontId="64" fillId="0" borderId="0" applyFont="0" applyFill="0" applyBorder="0" applyAlignment="0" applyProtection="0"/>
    <xf numFmtId="43" fontId="275" fillId="0" borderId="0" applyFont="0" applyFill="0" applyBorder="0" applyAlignment="0" applyProtection="0"/>
    <xf numFmtId="196" fontId="215" fillId="0" borderId="0" applyFont="0" applyFill="0" applyBorder="0" applyAlignment="0" applyProtection="0"/>
    <xf numFmtId="43" fontId="215" fillId="0" borderId="0" applyFont="0" applyFill="0" applyBorder="0" applyAlignment="0" applyProtection="0"/>
    <xf numFmtId="196" fontId="12" fillId="0" borderId="0" applyFont="0" applyFill="0" applyBorder="0" applyAlignment="0" applyProtection="0"/>
    <xf numFmtId="204" fontId="64" fillId="0" borderId="0" applyFont="0" applyFill="0" applyBorder="0" applyAlignment="0" applyProtection="0"/>
    <xf numFmtId="43" fontId="275" fillId="0" borderId="0" applyFont="0" applyFill="0" applyBorder="0" applyAlignment="0" applyProtection="0"/>
    <xf numFmtId="204" fontId="64" fillId="0" borderId="0" applyFont="0" applyFill="0" applyBorder="0" applyAlignment="0" applyProtection="0"/>
    <xf numFmtId="43" fontId="275" fillId="0" borderId="0" applyFont="0" applyFill="0" applyBorder="0" applyAlignment="0" applyProtection="0"/>
    <xf numFmtId="43" fontId="275" fillId="0" borderId="0" applyFont="0" applyFill="0" applyBorder="0" applyAlignment="0" applyProtection="0"/>
    <xf numFmtId="204" fontId="64" fillId="0" borderId="0" applyFont="0" applyFill="0" applyBorder="0" applyAlignment="0" applyProtection="0"/>
    <xf numFmtId="43" fontId="215" fillId="0" borderId="0" applyFont="0" applyFill="0" applyBorder="0" applyAlignment="0" applyProtection="0"/>
    <xf numFmtId="43" fontId="321" fillId="0" borderId="0" applyFont="0" applyFill="0" applyBorder="0" applyAlignment="0" applyProtection="0"/>
    <xf numFmtId="43" fontId="275" fillId="0" borderId="0" applyFont="0" applyFill="0" applyBorder="0" applyAlignment="0" applyProtection="0"/>
    <xf numFmtId="43" fontId="64" fillId="0" borderId="0" applyFont="0" applyFill="0" applyBorder="0" applyAlignment="0" applyProtection="0"/>
    <xf numFmtId="43" fontId="27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3" fillId="0" borderId="0" applyFont="0" applyFill="0" applyBorder="0" applyAlignment="0" applyProtection="0"/>
    <xf numFmtId="43" fontId="275" fillId="0" borderId="0" applyFont="0" applyFill="0" applyBorder="0" applyAlignment="0" applyProtection="0"/>
    <xf numFmtId="43" fontId="77" fillId="0" borderId="0" applyFont="0" applyFill="0" applyBorder="0" applyAlignment="0" applyProtection="0"/>
    <xf numFmtId="43" fontId="13" fillId="0" borderId="0" applyFont="0" applyFill="0" applyBorder="0" applyAlignment="0" applyProtection="0"/>
    <xf numFmtId="165" fontId="37" fillId="0" borderId="0" applyFont="0" applyFill="0" applyBorder="0" applyAlignment="0" applyProtection="0"/>
    <xf numFmtId="43" fontId="64" fillId="0" borderId="0" applyNumberFormat="0" applyFill="0" applyBorder="0" applyAlignment="0" applyProtection="0"/>
    <xf numFmtId="180" fontId="11" fillId="0" borderId="0" applyFont="0" applyFill="0" applyBorder="0" applyAlignment="0" applyProtection="0"/>
    <xf numFmtId="298" fontId="64" fillId="0" borderId="0" applyFont="0" applyFill="0" applyBorder="0" applyAlignment="0" applyProtection="0"/>
    <xf numFmtId="204" fontId="64" fillId="0" borderId="0" applyFont="0" applyFill="0" applyBorder="0" applyAlignment="0" applyProtection="0"/>
    <xf numFmtId="43" fontId="275" fillId="0" borderId="0" applyFont="0" applyFill="0" applyBorder="0" applyAlignment="0" applyProtection="0"/>
    <xf numFmtId="43" fontId="275" fillId="0" borderId="0" applyFont="0" applyFill="0" applyBorder="0" applyAlignment="0" applyProtection="0"/>
    <xf numFmtId="204" fontId="64" fillId="0" borderId="0" applyFont="0" applyFill="0" applyBorder="0" applyAlignment="0" applyProtection="0"/>
    <xf numFmtId="43" fontId="13" fillId="0" borderId="0" applyFont="0" applyFill="0" applyBorder="0" applyAlignment="0" applyProtection="0"/>
    <xf numFmtId="43" fontId="275" fillId="0" borderId="0" applyFont="0" applyFill="0" applyBorder="0" applyAlignment="0" applyProtection="0"/>
    <xf numFmtId="204" fontId="64" fillId="0" borderId="0" applyFont="0" applyFill="0" applyBorder="0" applyAlignment="0" applyProtection="0"/>
    <xf numFmtId="43" fontId="64" fillId="0" borderId="0" applyFont="0" applyFill="0" applyBorder="0" applyAlignment="0" applyProtection="0"/>
    <xf numFmtId="204" fontId="64" fillId="0" borderId="0" applyFont="0" applyFill="0" applyBorder="0" applyAlignment="0" applyProtection="0"/>
    <xf numFmtId="245" fontId="64" fillId="0" borderId="0" applyFont="0" applyFill="0" applyBorder="0" applyAlignment="0" applyProtection="0"/>
    <xf numFmtId="245" fontId="64" fillId="0" borderId="0" applyFont="0" applyFill="0" applyBorder="0" applyAlignment="0" applyProtection="0"/>
    <xf numFmtId="245" fontId="64" fillId="0" borderId="0" applyFont="0" applyFill="0" applyBorder="0" applyAlignment="0" applyProtection="0"/>
    <xf numFmtId="245" fontId="64" fillId="0" borderId="0" applyFont="0" applyFill="0" applyBorder="0" applyAlignment="0" applyProtection="0"/>
    <xf numFmtId="245" fontId="64" fillId="0" borderId="0" applyFont="0" applyFill="0" applyBorder="0" applyAlignment="0" applyProtection="0"/>
    <xf numFmtId="245" fontId="64" fillId="0" borderId="0" applyFont="0" applyFill="0" applyBorder="0" applyAlignment="0" applyProtection="0"/>
    <xf numFmtId="196" fontId="12" fillId="0" borderId="0" applyFont="0" applyFill="0" applyBorder="0" applyAlignment="0" applyProtection="0"/>
    <xf numFmtId="43" fontId="64" fillId="0" borderId="0" applyFont="0" applyFill="0" applyBorder="0" applyAlignment="0" applyProtection="0"/>
    <xf numFmtId="299" fontId="64" fillId="0" borderId="0" applyFont="0" applyFill="0" applyBorder="0" applyAlignment="0" applyProtection="0"/>
    <xf numFmtId="43" fontId="64" fillId="0" borderId="0" applyFont="0" applyFill="0" applyBorder="0" applyAlignment="0" applyProtection="0"/>
    <xf numFmtId="196" fontId="80" fillId="0" borderId="0" applyFont="0" applyFill="0" applyBorder="0" applyAlignment="0" applyProtection="0"/>
    <xf numFmtId="256" fontId="64" fillId="0" borderId="0" applyFont="0" applyFill="0" applyBorder="0" applyAlignment="0" applyProtection="0"/>
    <xf numFmtId="329" fontId="64" fillId="0" borderId="0" applyFont="0" applyFill="0" applyBorder="0" applyAlignment="0" applyProtection="0"/>
    <xf numFmtId="43" fontId="265" fillId="0" borderId="0" applyFont="0" applyFill="0" applyBorder="0" applyAlignment="0" applyProtection="0"/>
    <xf numFmtId="329" fontId="64" fillId="0" borderId="0" applyFont="0" applyFill="0" applyBorder="0" applyAlignment="0" applyProtection="0"/>
    <xf numFmtId="245" fontId="64" fillId="0" borderId="0" applyFont="0" applyFill="0" applyBorder="0" applyAlignment="0" applyProtection="0"/>
    <xf numFmtId="245" fontId="64" fillId="0" borderId="0" applyFont="0" applyFill="0" applyBorder="0" applyAlignment="0" applyProtection="0"/>
    <xf numFmtId="245" fontId="64" fillId="0" borderId="0" applyFont="0" applyFill="0" applyBorder="0" applyAlignment="0" applyProtection="0"/>
    <xf numFmtId="245" fontId="64" fillId="0" borderId="0" applyFont="0" applyFill="0" applyBorder="0" applyAlignment="0" applyProtection="0"/>
    <xf numFmtId="245" fontId="64" fillId="0" borderId="0" applyFont="0" applyFill="0" applyBorder="0" applyAlignment="0" applyProtection="0"/>
    <xf numFmtId="245" fontId="64" fillId="0" borderId="0" applyFont="0" applyFill="0" applyBorder="0" applyAlignment="0" applyProtection="0"/>
    <xf numFmtId="245" fontId="64" fillId="0" borderId="0" applyFont="0" applyFill="0" applyBorder="0" applyAlignment="0" applyProtection="0"/>
    <xf numFmtId="245" fontId="64" fillId="0" borderId="0" applyFont="0" applyFill="0" applyBorder="0" applyAlignment="0" applyProtection="0"/>
    <xf numFmtId="245" fontId="64" fillId="0" borderId="0" applyFont="0" applyFill="0" applyBorder="0" applyAlignment="0" applyProtection="0"/>
    <xf numFmtId="245" fontId="64" fillId="0" borderId="0" applyFont="0" applyFill="0" applyBorder="0" applyAlignment="0" applyProtection="0"/>
    <xf numFmtId="230" fontId="64" fillId="0" borderId="0" applyFont="0" applyFill="0" applyBorder="0" applyAlignment="0" applyProtection="0"/>
    <xf numFmtId="43" fontId="264" fillId="0" borderId="0" applyFont="0" applyFill="0" applyBorder="0" applyAlignment="0" applyProtection="0"/>
    <xf numFmtId="43" fontId="275" fillId="0" borderId="0" applyFont="0" applyFill="0" applyBorder="0" applyAlignment="0" applyProtection="0"/>
    <xf numFmtId="43" fontId="275" fillId="0" borderId="0" applyFont="0" applyFill="0" applyBorder="0" applyAlignment="0" applyProtection="0"/>
    <xf numFmtId="324" fontId="11" fillId="0" borderId="0" applyFont="0" applyFill="0" applyBorder="0" applyAlignment="0" applyProtection="0"/>
    <xf numFmtId="165" fontId="37" fillId="0" borderId="0" applyFont="0" applyFill="0" applyBorder="0" applyAlignment="0" applyProtection="0"/>
    <xf numFmtId="245" fontId="64" fillId="0" borderId="0" applyFont="0" applyFill="0" applyBorder="0" applyAlignment="0" applyProtection="0"/>
    <xf numFmtId="245" fontId="64" fillId="0" borderId="0" applyFont="0" applyFill="0" applyBorder="0" applyAlignment="0" applyProtection="0"/>
    <xf numFmtId="245" fontId="64" fillId="0" borderId="0" applyFont="0" applyFill="0" applyBorder="0" applyAlignment="0" applyProtection="0"/>
    <xf numFmtId="245" fontId="64" fillId="0" borderId="0" applyFont="0" applyFill="0" applyBorder="0" applyAlignment="0" applyProtection="0"/>
    <xf numFmtId="204" fontId="7" fillId="0" borderId="0" applyFont="0" applyFill="0" applyBorder="0" applyAlignment="0" applyProtection="0"/>
    <xf numFmtId="43" fontId="275" fillId="0" borderId="0" applyFont="0" applyFill="0" applyBorder="0" applyAlignment="0" applyProtection="0"/>
    <xf numFmtId="203" fontId="64" fillId="0" borderId="0" applyFont="0" applyFill="0" applyBorder="0" applyAlignment="0" applyProtection="0"/>
    <xf numFmtId="43" fontId="275" fillId="0" borderId="0" applyFont="0" applyFill="0" applyBorder="0" applyAlignment="0" applyProtection="0"/>
    <xf numFmtId="43" fontId="275" fillId="0" borderId="0" applyFont="0" applyFill="0" applyBorder="0" applyAlignment="0" applyProtection="0"/>
    <xf numFmtId="43" fontId="11" fillId="0" borderId="0" applyFont="0" applyFill="0" applyBorder="0" applyAlignment="0" applyProtection="0"/>
    <xf numFmtId="165" fontId="37" fillId="0" borderId="0" applyFont="0" applyFill="0" applyBorder="0" applyAlignment="0" applyProtection="0"/>
    <xf numFmtId="43" fontId="64" fillId="0" borderId="0" applyFont="0" applyFill="0" applyBorder="0" applyAlignment="0" applyProtection="0"/>
    <xf numFmtId="196" fontId="37" fillId="0" borderId="0" applyFont="0" applyFill="0" applyBorder="0" applyAlignment="0" applyProtection="0"/>
    <xf numFmtId="324" fontId="11" fillId="0" borderId="0" applyFont="0" applyFill="0" applyBorder="0" applyAlignment="0" applyProtection="0"/>
    <xf numFmtId="165" fontId="11" fillId="0" borderId="0" applyFont="0" applyFill="0" applyBorder="0" applyAlignment="0" applyProtection="0"/>
    <xf numFmtId="43" fontId="215" fillId="0" borderId="0" applyFont="0" applyFill="0" applyBorder="0" applyAlignment="0" applyProtection="0"/>
    <xf numFmtId="43" fontId="27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231" fontId="12" fillId="0" borderId="0" applyFont="0" applyFill="0" applyBorder="0" applyAlignment="0" applyProtection="0"/>
    <xf numFmtId="259" fontId="112" fillId="0" borderId="0" applyFont="0" applyFill="0" applyBorder="0" applyAlignment="0" applyProtection="0"/>
    <xf numFmtId="43" fontId="64" fillId="0" borderId="0" applyFont="0" applyFill="0" applyBorder="0" applyAlignment="0" applyProtection="0"/>
    <xf numFmtId="43" fontId="275" fillId="0" borderId="0" applyFont="0" applyFill="0" applyBorder="0" applyAlignment="0" applyProtection="0"/>
    <xf numFmtId="43" fontId="64" fillId="0" borderId="0" applyFont="0" applyFill="0" applyBorder="0" applyAlignment="0" applyProtection="0"/>
    <xf numFmtId="196" fontId="112" fillId="0" borderId="0" applyFont="0" applyFill="0" applyBorder="0" applyAlignment="0" applyProtection="0"/>
    <xf numFmtId="231" fontId="12" fillId="0" borderId="0" applyFont="0" applyFill="0" applyBorder="0" applyAlignment="0" applyProtection="0"/>
    <xf numFmtId="43" fontId="64" fillId="0" borderId="0" applyFont="0" applyFill="0" applyBorder="0" applyAlignment="0" applyProtection="0"/>
    <xf numFmtId="43" fontId="7" fillId="0" borderId="0" applyFont="0" applyFill="0" applyBorder="0" applyAlignment="0" applyProtection="0"/>
    <xf numFmtId="43" fontId="11" fillId="0" borderId="0" applyFont="0" applyFill="0" applyBorder="0" applyAlignment="0" applyProtection="0"/>
    <xf numFmtId="43" fontId="275" fillId="0" borderId="0" applyFont="0" applyFill="0" applyBorder="0" applyAlignment="0" applyProtection="0"/>
    <xf numFmtId="43" fontId="265" fillId="0" borderId="0" applyFont="0" applyFill="0" applyBorder="0" applyAlignment="0" applyProtection="0"/>
    <xf numFmtId="43" fontId="7" fillId="0" borderId="0" applyFont="0" applyFill="0" applyBorder="0" applyAlignment="0" applyProtection="0"/>
    <xf numFmtId="8" fontId="11" fillId="0" borderId="0" applyFont="0" applyFill="0" applyBorder="0" applyAlignment="0" applyProtection="0"/>
    <xf numFmtId="43" fontId="7"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0" fontId="13" fillId="0" borderId="0" applyFont="0" applyFill="0" applyBorder="0" applyAlignment="0" applyProtection="0"/>
    <xf numFmtId="165" fontId="13" fillId="0" borderId="0" applyFont="0" applyFill="0" applyBorder="0" applyAlignment="0" applyProtection="0"/>
    <xf numFmtId="43" fontId="64" fillId="0" borderId="0" applyFont="0" applyFill="0" applyBorder="0" applyAlignment="0" applyProtection="0"/>
    <xf numFmtId="25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77" fillId="0" borderId="0" applyFont="0" applyFill="0" applyBorder="0" applyAlignment="0" applyProtection="0"/>
    <xf numFmtId="43" fontId="64" fillId="0" borderId="0" applyFont="0" applyFill="0" applyBorder="0" applyAlignment="0" applyProtection="0"/>
    <xf numFmtId="258" fontId="11" fillId="0" borderId="0" applyFont="0" applyFill="0" applyBorder="0" applyAlignment="0" applyProtection="0"/>
    <xf numFmtId="258" fontId="11" fillId="0" borderId="0" applyFont="0" applyFill="0" applyBorder="0" applyAlignment="0" applyProtection="0"/>
    <xf numFmtId="167" fontId="77" fillId="0" borderId="0" applyFont="0" applyFill="0" applyBorder="0" applyAlignment="0" applyProtection="0"/>
    <xf numFmtId="211" fontId="53" fillId="0" borderId="0"/>
    <xf numFmtId="211" fontId="18" fillId="0" borderId="0"/>
    <xf numFmtId="3" fontId="64" fillId="0" borderId="0" applyFont="0" applyFill="0" applyBorder="0" applyAlignment="0" applyProtection="0"/>
    <xf numFmtId="0" fontId="322" fillId="0" borderId="0">
      <alignment horizontal="center"/>
    </xf>
    <xf numFmtId="0" fontId="178" fillId="0" borderId="0" applyNumberFormat="0" applyAlignment="0">
      <alignment horizontal="left"/>
    </xf>
    <xf numFmtId="279" fontId="267" fillId="0" borderId="0" applyFont="0" applyFill="0" applyBorder="0" applyAlignment="0" applyProtection="0"/>
    <xf numFmtId="300" fontId="164" fillId="0" borderId="0" applyFont="0" applyFill="0" applyBorder="0" applyAlignment="0" applyProtection="0"/>
    <xf numFmtId="232" fontId="222" fillId="0" borderId="0">
      <protection locked="0"/>
    </xf>
    <xf numFmtId="232" fontId="222" fillId="0" borderId="0">
      <protection locked="0"/>
    </xf>
    <xf numFmtId="233" fontId="222" fillId="0" borderId="0">
      <protection locked="0"/>
    </xf>
    <xf numFmtId="233" fontId="222" fillId="0" borderId="0">
      <protection locked="0"/>
    </xf>
    <xf numFmtId="234" fontId="223" fillId="0" borderId="37">
      <protection locked="0"/>
    </xf>
    <xf numFmtId="234" fontId="223" fillId="0" borderId="37">
      <protection locked="0"/>
    </xf>
    <xf numFmtId="203" fontId="222" fillId="0" borderId="0">
      <protection locked="0"/>
    </xf>
    <xf numFmtId="203" fontId="222" fillId="0" borderId="0">
      <protection locked="0"/>
    </xf>
    <xf numFmtId="235" fontId="222" fillId="0" borderId="0">
      <protection locked="0"/>
    </xf>
    <xf numFmtId="235" fontId="222" fillId="0" borderId="0">
      <protection locked="0"/>
    </xf>
    <xf numFmtId="203" fontId="222" fillId="0" borderId="0" applyNumberFormat="0">
      <protection locked="0"/>
    </xf>
    <xf numFmtId="203" fontId="222" fillId="0" borderId="0" applyNumberFormat="0">
      <protection locked="0"/>
    </xf>
    <xf numFmtId="203" fontId="222" fillId="0" borderId="0">
      <protection locked="0"/>
    </xf>
    <xf numFmtId="203" fontId="222" fillId="0" borderId="0">
      <protection locked="0"/>
    </xf>
    <xf numFmtId="228" fontId="224" fillId="0" borderId="31"/>
    <xf numFmtId="236" fontId="224" fillId="0" borderId="31"/>
    <xf numFmtId="199" fontId="294" fillId="0" borderId="0" applyFont="0" applyFill="0" applyBorder="0" applyAlignment="0" applyProtection="0"/>
    <xf numFmtId="224" fontId="217" fillId="0" borderId="0" applyFont="0" applyFill="0" applyBorder="0" applyAlignment="0" applyProtection="0"/>
    <xf numFmtId="268" fontId="77" fillId="0" borderId="0" applyFont="0" applyFill="0" applyBorder="0" applyAlignment="0" applyProtection="0"/>
    <xf numFmtId="212" fontId="64" fillId="0" borderId="0" applyFont="0" applyFill="0" applyBorder="0" applyAlignment="0" applyProtection="0"/>
    <xf numFmtId="213" fontId="64" fillId="0" borderId="0"/>
    <xf numFmtId="213" fontId="64" fillId="0" borderId="0"/>
    <xf numFmtId="213" fontId="265" fillId="0" borderId="0"/>
    <xf numFmtId="213" fontId="64" fillId="0" borderId="0"/>
    <xf numFmtId="228" fontId="206" fillId="0" borderId="31">
      <alignment horizontal="center"/>
      <protection hidden="1"/>
    </xf>
    <xf numFmtId="237" fontId="225" fillId="0" borderId="31">
      <alignment horizontal="center"/>
      <protection hidden="1"/>
    </xf>
    <xf numFmtId="237" fontId="225" fillId="0" borderId="31">
      <alignment horizontal="center"/>
      <protection hidden="1"/>
    </xf>
    <xf numFmtId="237" fontId="299" fillId="0" borderId="31">
      <alignment horizontal="center"/>
      <protection hidden="1"/>
    </xf>
    <xf numFmtId="2" fontId="206" fillId="0" borderId="31">
      <alignment horizontal="center"/>
      <protection hidden="1"/>
    </xf>
    <xf numFmtId="0" fontId="64" fillId="0" borderId="0" applyFont="0" applyFill="0" applyBorder="0" applyAlignment="0" applyProtection="0"/>
    <xf numFmtId="0" fontId="148" fillId="0" borderId="0" applyProtection="0"/>
    <xf numFmtId="14" fontId="167" fillId="0" borderId="0" applyFill="0" applyBorder="0" applyAlignment="0"/>
    <xf numFmtId="0" fontId="148" fillId="0" borderId="0" applyProtection="0"/>
    <xf numFmtId="43" fontId="159" fillId="0" borderId="0" applyFont="0" applyFill="0" applyBorder="0" applyAlignment="0" applyProtection="0"/>
    <xf numFmtId="41" fontId="265" fillId="0" borderId="0" applyFont="0" applyFill="0" applyBorder="0" applyAlignment="0" applyProtection="0"/>
    <xf numFmtId="41" fontId="64" fillId="0" borderId="0" applyFont="0" applyFill="0" applyBorder="0" applyAlignment="0" applyProtection="0"/>
    <xf numFmtId="41" fontId="64" fillId="0" borderId="0" applyFont="0" applyFill="0" applyBorder="0" applyAlignment="0" applyProtection="0"/>
    <xf numFmtId="43" fontId="292"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64" fillId="0" borderId="0" applyFont="0" applyFill="0" applyBorder="0" applyAlignment="0" applyProtection="0"/>
    <xf numFmtId="43" fontId="26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0" fontId="288" fillId="26" borderId="38" applyNumberFormat="0" applyAlignment="0" applyProtection="0"/>
    <xf numFmtId="0" fontId="288" fillId="26" borderId="38" applyNumberFormat="0" applyAlignment="0" applyProtection="0"/>
    <xf numFmtId="0" fontId="285" fillId="18" borderId="35" applyNumberFormat="0" applyAlignment="0" applyProtection="0"/>
    <xf numFmtId="0" fontId="285" fillId="18" borderId="35" applyNumberFormat="0" applyAlignment="0" applyProtection="0"/>
    <xf numFmtId="3" fontId="323" fillId="0" borderId="9">
      <alignment horizontal="left" vertical="top" wrapText="1"/>
    </xf>
    <xf numFmtId="0" fontId="282" fillId="0" borderId="39" applyNumberFormat="0" applyFill="0" applyAlignment="0" applyProtection="0"/>
    <xf numFmtId="0" fontId="283" fillId="0" borderId="40" applyNumberFormat="0" applyFill="0" applyAlignment="0" applyProtection="0"/>
    <xf numFmtId="0" fontId="284" fillId="0" borderId="41" applyNumberFormat="0" applyFill="0" applyAlignment="0" applyProtection="0"/>
    <xf numFmtId="0" fontId="284" fillId="0" borderId="0" applyNumberFormat="0" applyFill="0" applyBorder="0" applyAlignment="0" applyProtection="0"/>
    <xf numFmtId="0" fontId="64" fillId="0" borderId="0" applyFont="0" applyFill="0" applyBorder="0" applyAlignment="0" applyProtection="0"/>
    <xf numFmtId="0" fontId="64" fillId="0" borderId="0" applyFont="0" applyFill="0" applyBorder="0" applyAlignment="0" applyProtection="0"/>
    <xf numFmtId="248" fontId="11" fillId="0" borderId="0"/>
    <xf numFmtId="248" fontId="11" fillId="0" borderId="0"/>
    <xf numFmtId="269" fontId="11" fillId="0" borderId="0"/>
    <xf numFmtId="249" fontId="11" fillId="0" borderId="21"/>
    <xf numFmtId="249" fontId="11" fillId="0" borderId="21"/>
    <xf numFmtId="270" fontId="215" fillId="0" borderId="21"/>
    <xf numFmtId="214" fontId="64" fillId="0" borderId="0"/>
    <xf numFmtId="214" fontId="64" fillId="0" borderId="0"/>
    <xf numFmtId="214" fontId="265" fillId="0" borderId="0"/>
    <xf numFmtId="214" fontId="64" fillId="0" borderId="0"/>
    <xf numFmtId="250" fontId="11" fillId="0" borderId="0"/>
    <xf numFmtId="250" fontId="11" fillId="0" borderId="0"/>
    <xf numFmtId="271" fontId="215" fillId="0" borderId="0"/>
    <xf numFmtId="195" fontId="226" fillId="0" borderId="0" applyFont="0" applyFill="0" applyBorder="0" applyAlignment="0" applyProtection="0"/>
    <xf numFmtId="196" fontId="226" fillId="0" borderId="0" applyFont="0" applyFill="0" applyBorder="0" applyAlignment="0" applyProtection="0"/>
    <xf numFmtId="41" fontId="226" fillId="0" borderId="0" applyFont="0" applyFill="0" applyBorder="0" applyAlignment="0" applyProtection="0"/>
    <xf numFmtId="41" fontId="226" fillId="0" borderId="0" applyFont="0" applyFill="0" applyBorder="0" applyAlignment="0" applyProtection="0"/>
    <xf numFmtId="41" fontId="226" fillId="0" borderId="0" applyFont="0" applyFill="0" applyBorder="0" applyAlignment="0" applyProtection="0"/>
    <xf numFmtId="301" fontId="64" fillId="0" borderId="0" applyFont="0" applyFill="0" applyBorder="0" applyAlignment="0" applyProtection="0"/>
    <xf numFmtId="301" fontId="64" fillId="0" borderId="0" applyFont="0" applyFill="0" applyBorder="0" applyAlignment="0" applyProtection="0"/>
    <xf numFmtId="301" fontId="64" fillId="0" borderId="0" applyFont="0" applyFill="0" applyBorder="0" applyAlignment="0" applyProtection="0"/>
    <xf numFmtId="195" fontId="226" fillId="0" borderId="0" applyFont="0" applyFill="0" applyBorder="0" applyAlignment="0" applyProtection="0"/>
    <xf numFmtId="195" fontId="226" fillId="0" borderId="0" applyFont="0" applyFill="0" applyBorder="0" applyAlignment="0" applyProtection="0"/>
    <xf numFmtId="301" fontId="64" fillId="0" borderId="0" applyFont="0" applyFill="0" applyBorder="0" applyAlignment="0" applyProtection="0"/>
    <xf numFmtId="301" fontId="64" fillId="0" borderId="0" applyFont="0" applyFill="0" applyBorder="0" applyAlignment="0" applyProtection="0"/>
    <xf numFmtId="302" fontId="11" fillId="0" borderId="0" applyFont="0" applyFill="0" applyBorder="0" applyAlignment="0" applyProtection="0"/>
    <xf numFmtId="302" fontId="11" fillId="0" borderId="0" applyFont="0" applyFill="0" applyBorder="0" applyAlignment="0" applyProtection="0"/>
    <xf numFmtId="303" fontId="11" fillId="0" borderId="0" applyFont="0" applyFill="0" applyBorder="0" applyAlignment="0" applyProtection="0"/>
    <xf numFmtId="303" fontId="11" fillId="0" borderId="0" applyFont="0" applyFill="0" applyBorder="0" applyAlignment="0" applyProtection="0"/>
    <xf numFmtId="41" fontId="226" fillId="0" borderId="0" applyFont="0" applyFill="0" applyBorder="0" applyAlignment="0" applyProtection="0"/>
    <xf numFmtId="41" fontId="226" fillId="0" borderId="0" applyFont="0" applyFill="0" applyBorder="0" applyAlignment="0" applyProtection="0"/>
    <xf numFmtId="41" fontId="226" fillId="0" borderId="0" applyFont="0" applyFill="0" applyBorder="0" applyAlignment="0" applyProtection="0"/>
    <xf numFmtId="41" fontId="226" fillId="0" borderId="0" applyFont="0" applyFill="0" applyBorder="0" applyAlignment="0" applyProtection="0"/>
    <xf numFmtId="41" fontId="226" fillId="0" borderId="0" applyFont="0" applyFill="0" applyBorder="0" applyAlignment="0" applyProtection="0"/>
    <xf numFmtId="41" fontId="226" fillId="0" borderId="0" applyFont="0" applyFill="0" applyBorder="0" applyAlignment="0" applyProtection="0"/>
    <xf numFmtId="164" fontId="226" fillId="0" borderId="0" applyFont="0" applyFill="0" applyBorder="0" applyAlignment="0" applyProtection="0"/>
    <xf numFmtId="164" fontId="226" fillId="0" borderId="0" applyFont="0" applyFill="0" applyBorder="0" applyAlignment="0" applyProtection="0"/>
    <xf numFmtId="164" fontId="226" fillId="0" borderId="0" applyFont="0" applyFill="0" applyBorder="0" applyAlignment="0" applyProtection="0"/>
    <xf numFmtId="164" fontId="226" fillId="0" borderId="0" applyFont="0" applyFill="0" applyBorder="0" applyAlignment="0" applyProtection="0"/>
    <xf numFmtId="164" fontId="226" fillId="0" borderId="0" applyFont="0" applyFill="0" applyBorder="0" applyAlignment="0" applyProtection="0"/>
    <xf numFmtId="164" fontId="226" fillId="0" borderId="0" applyFont="0" applyFill="0" applyBorder="0" applyAlignment="0" applyProtection="0"/>
    <xf numFmtId="41" fontId="226" fillId="0" borderId="0" applyFont="0" applyFill="0" applyBorder="0" applyAlignment="0" applyProtection="0"/>
    <xf numFmtId="195" fontId="226" fillId="0" borderId="0" applyFont="0" applyFill="0" applyBorder="0" applyAlignment="0" applyProtection="0"/>
    <xf numFmtId="41" fontId="226" fillId="0" borderId="0" applyFont="0" applyFill="0" applyBorder="0" applyAlignment="0" applyProtection="0"/>
    <xf numFmtId="195" fontId="226" fillId="0" borderId="0" applyFont="0" applyFill="0" applyBorder="0" applyAlignment="0" applyProtection="0"/>
    <xf numFmtId="41" fontId="226" fillId="0" borderId="0" applyFont="0" applyFill="0" applyBorder="0" applyAlignment="0" applyProtection="0"/>
    <xf numFmtId="41" fontId="226" fillId="0" borderId="0" applyFont="0" applyFill="0" applyBorder="0" applyAlignment="0" applyProtection="0"/>
    <xf numFmtId="164" fontId="226" fillId="0" borderId="0" applyFont="0" applyFill="0" applyBorder="0" applyAlignment="0" applyProtection="0"/>
    <xf numFmtId="164" fontId="226" fillId="0" borderId="0" applyFont="0" applyFill="0" applyBorder="0" applyAlignment="0" applyProtection="0"/>
    <xf numFmtId="41" fontId="226" fillId="0" borderId="0" applyFont="0" applyFill="0" applyBorder="0" applyAlignment="0" applyProtection="0"/>
    <xf numFmtId="43" fontId="226" fillId="0" borderId="0" applyFont="0" applyFill="0" applyBorder="0" applyAlignment="0" applyProtection="0"/>
    <xf numFmtId="43" fontId="226" fillId="0" borderId="0" applyFont="0" applyFill="0" applyBorder="0" applyAlignment="0" applyProtection="0"/>
    <xf numFmtId="43" fontId="226" fillId="0" borderId="0" applyFont="0" applyFill="0" applyBorder="0" applyAlignment="0" applyProtection="0"/>
    <xf numFmtId="304" fontId="64" fillId="0" borderId="0" applyFont="0" applyFill="0" applyBorder="0" applyAlignment="0" applyProtection="0"/>
    <xf numFmtId="304" fontId="64" fillId="0" borderId="0" applyFont="0" applyFill="0" applyBorder="0" applyAlignment="0" applyProtection="0"/>
    <xf numFmtId="304" fontId="64" fillId="0" borderId="0" applyFont="0" applyFill="0" applyBorder="0" applyAlignment="0" applyProtection="0"/>
    <xf numFmtId="196" fontId="226" fillId="0" borderId="0" applyFont="0" applyFill="0" applyBorder="0" applyAlignment="0" applyProtection="0"/>
    <xf numFmtId="196" fontId="226" fillId="0" borderId="0" applyFont="0" applyFill="0" applyBorder="0" applyAlignment="0" applyProtection="0"/>
    <xf numFmtId="304" fontId="64" fillId="0" borderId="0" applyFont="0" applyFill="0" applyBorder="0" applyAlignment="0" applyProtection="0"/>
    <xf numFmtId="304" fontId="64" fillId="0" borderId="0" applyFont="0" applyFill="0" applyBorder="0" applyAlignment="0" applyProtection="0"/>
    <xf numFmtId="305" fontId="11" fillId="0" borderId="0" applyFont="0" applyFill="0" applyBorder="0" applyAlignment="0" applyProtection="0"/>
    <xf numFmtId="305" fontId="11" fillId="0" borderId="0" applyFont="0" applyFill="0" applyBorder="0" applyAlignment="0" applyProtection="0"/>
    <xf numFmtId="238" fontId="11" fillId="0" borderId="0" applyFont="0" applyFill="0" applyBorder="0" applyAlignment="0" applyProtection="0"/>
    <xf numFmtId="238" fontId="11" fillId="0" borderId="0" applyFont="0" applyFill="0" applyBorder="0" applyAlignment="0" applyProtection="0"/>
    <xf numFmtId="43" fontId="226" fillId="0" borderId="0" applyFont="0" applyFill="0" applyBorder="0" applyAlignment="0" applyProtection="0"/>
    <xf numFmtId="43" fontId="226" fillId="0" borderId="0" applyFont="0" applyFill="0" applyBorder="0" applyAlignment="0" applyProtection="0"/>
    <xf numFmtId="43" fontId="226" fillId="0" borderId="0" applyFont="0" applyFill="0" applyBorder="0" applyAlignment="0" applyProtection="0"/>
    <xf numFmtId="43" fontId="226" fillId="0" borderId="0" applyFont="0" applyFill="0" applyBorder="0" applyAlignment="0" applyProtection="0"/>
    <xf numFmtId="43" fontId="226" fillId="0" borderId="0" applyFont="0" applyFill="0" applyBorder="0" applyAlignment="0" applyProtection="0"/>
    <xf numFmtId="43" fontId="226" fillId="0" borderId="0" applyFont="0" applyFill="0" applyBorder="0" applyAlignment="0" applyProtection="0"/>
    <xf numFmtId="165" fontId="226" fillId="0" borderId="0" applyFont="0" applyFill="0" applyBorder="0" applyAlignment="0" applyProtection="0"/>
    <xf numFmtId="165" fontId="226" fillId="0" borderId="0" applyFont="0" applyFill="0" applyBorder="0" applyAlignment="0" applyProtection="0"/>
    <xf numFmtId="165" fontId="226" fillId="0" borderId="0" applyFont="0" applyFill="0" applyBorder="0" applyAlignment="0" applyProtection="0"/>
    <xf numFmtId="165" fontId="226" fillId="0" borderId="0" applyFont="0" applyFill="0" applyBorder="0" applyAlignment="0" applyProtection="0"/>
    <xf numFmtId="165" fontId="226" fillId="0" borderId="0" applyFont="0" applyFill="0" applyBorder="0" applyAlignment="0" applyProtection="0"/>
    <xf numFmtId="165" fontId="226" fillId="0" borderId="0" applyFont="0" applyFill="0" applyBorder="0" applyAlignment="0" applyProtection="0"/>
    <xf numFmtId="43" fontId="226" fillId="0" borderId="0" applyFont="0" applyFill="0" applyBorder="0" applyAlignment="0" applyProtection="0"/>
    <xf numFmtId="196" fontId="226" fillId="0" borderId="0" applyFont="0" applyFill="0" applyBorder="0" applyAlignment="0" applyProtection="0"/>
    <xf numFmtId="43" fontId="226" fillId="0" borderId="0" applyFont="0" applyFill="0" applyBorder="0" applyAlignment="0" applyProtection="0"/>
    <xf numFmtId="196" fontId="226" fillId="0" borderId="0" applyFont="0" applyFill="0" applyBorder="0" applyAlignment="0" applyProtection="0"/>
    <xf numFmtId="43" fontId="226" fillId="0" borderId="0" applyFont="0" applyFill="0" applyBorder="0" applyAlignment="0" applyProtection="0"/>
    <xf numFmtId="43" fontId="226" fillId="0" borderId="0" applyFont="0" applyFill="0" applyBorder="0" applyAlignment="0" applyProtection="0"/>
    <xf numFmtId="165" fontId="226" fillId="0" borderId="0" applyFont="0" applyFill="0" applyBorder="0" applyAlignment="0" applyProtection="0"/>
    <xf numFmtId="165" fontId="226" fillId="0" borderId="0" applyFont="0" applyFill="0" applyBorder="0" applyAlignment="0" applyProtection="0"/>
    <xf numFmtId="43" fontId="226" fillId="0" borderId="0" applyFont="0" applyFill="0" applyBorder="0" applyAlignment="0" applyProtection="0"/>
    <xf numFmtId="3" fontId="11" fillId="0" borderId="0" applyFont="0" applyBorder="0" applyAlignment="0"/>
    <xf numFmtId="198" fontId="217" fillId="0" borderId="0" applyFill="0" applyBorder="0" applyAlignment="0"/>
    <xf numFmtId="198" fontId="217" fillId="0" borderId="0" applyFill="0" applyBorder="0" applyAlignment="0"/>
    <xf numFmtId="266" fontId="215" fillId="0" borderId="0" applyFill="0" applyBorder="0" applyAlignment="0"/>
    <xf numFmtId="224" fontId="217" fillId="0" borderId="0" applyFill="0" applyBorder="0" applyAlignment="0"/>
    <xf numFmtId="198" fontId="217" fillId="0" borderId="0" applyFill="0" applyBorder="0" applyAlignment="0"/>
    <xf numFmtId="198" fontId="217" fillId="0" borderId="0" applyFill="0" applyBorder="0" applyAlignment="0"/>
    <xf numFmtId="266" fontId="215" fillId="0" borderId="0" applyFill="0" applyBorder="0" applyAlignment="0"/>
    <xf numFmtId="227" fontId="217" fillId="0" borderId="0" applyFill="0" applyBorder="0" applyAlignment="0"/>
    <xf numFmtId="227" fontId="217" fillId="0" borderId="0" applyFill="0" applyBorder="0" applyAlignment="0"/>
    <xf numFmtId="267" fontId="215" fillId="0" borderId="0" applyFill="0" applyBorder="0" applyAlignment="0"/>
    <xf numFmtId="224" fontId="217" fillId="0" borderId="0" applyFill="0" applyBorder="0" applyAlignment="0"/>
    <xf numFmtId="0" fontId="179" fillId="0" borderId="0" applyNumberFormat="0" applyAlignment="0">
      <alignment horizontal="left"/>
    </xf>
    <xf numFmtId="0" fontId="227" fillId="0" borderId="0"/>
    <xf numFmtId="0" fontId="280" fillId="0" borderId="0" applyNumberFormat="0" applyFill="0" applyBorder="0" applyAlignment="0" applyProtection="0"/>
    <xf numFmtId="0" fontId="280" fillId="0" borderId="0" applyNumberFormat="0" applyFill="0" applyBorder="0" applyAlignment="0" applyProtection="0"/>
    <xf numFmtId="0" fontId="280" fillId="0" borderId="0" applyNumberFormat="0" applyFill="0" applyBorder="0" applyAlignment="0" applyProtection="0"/>
    <xf numFmtId="3" fontId="11" fillId="0" borderId="0" applyFont="0" applyBorder="0" applyAlignment="0"/>
    <xf numFmtId="0" fontId="64" fillId="0" borderId="0"/>
    <xf numFmtId="2" fontId="64" fillId="0" borderId="0" applyFont="0" applyFill="0" applyBorder="0" applyAlignment="0" applyProtection="0"/>
    <xf numFmtId="2" fontId="148" fillId="0" borderId="0" applyProtection="0"/>
    <xf numFmtId="0" fontId="180" fillId="0" borderId="0" applyNumberFormat="0" applyFill="0" applyBorder="0" applyProtection="0"/>
    <xf numFmtId="0" fontId="181" fillId="0" borderId="0" applyNumberFormat="0" applyFill="0" applyBorder="0" applyProtection="0">
      <alignment vertical="center"/>
    </xf>
    <xf numFmtId="0" fontId="182" fillId="0" borderId="0" applyNumberFormat="0" applyFill="0" applyBorder="0" applyAlignment="0" applyProtection="0"/>
    <xf numFmtId="0" fontId="183" fillId="0" borderId="0" applyNumberFormat="0" applyFill="0" applyBorder="0" applyProtection="0">
      <alignment vertical="center"/>
    </xf>
    <xf numFmtId="0" fontId="184" fillId="0" borderId="0" applyNumberFormat="0" applyFill="0" applyBorder="0" applyAlignment="0" applyProtection="0"/>
    <xf numFmtId="0" fontId="182" fillId="0" borderId="0" applyNumberFormat="0" applyFill="0" applyBorder="0" applyAlignment="0" applyProtection="0"/>
    <xf numFmtId="215" fontId="185" fillId="0" borderId="42" applyNumberFormat="0" applyFill="0" applyBorder="0" applyAlignment="0" applyProtection="0"/>
    <xf numFmtId="0" fontId="186" fillId="0" borderId="0" applyNumberFormat="0" applyFill="0" applyBorder="0" applyAlignment="0" applyProtection="0"/>
    <xf numFmtId="0" fontId="11" fillId="22" borderId="43" applyNumberFormat="0" applyFont="0" applyAlignment="0" applyProtection="0"/>
    <xf numFmtId="0" fontId="11" fillId="22" borderId="43" applyNumberFormat="0" applyFont="0" applyAlignment="0" applyProtection="0"/>
    <xf numFmtId="0" fontId="324" fillId="0" borderId="0">
      <alignment vertical="top" wrapText="1"/>
    </xf>
    <xf numFmtId="0" fontId="281" fillId="19" borderId="0" applyNumberFormat="0" applyBorder="0" applyAlignment="0" applyProtection="0"/>
    <xf numFmtId="0" fontId="281" fillId="19" borderId="0" applyNumberFormat="0" applyBorder="0" applyAlignment="0" applyProtection="0"/>
    <xf numFmtId="0" fontId="281" fillId="19" borderId="0" applyNumberFormat="0" applyBorder="0" applyAlignment="0" applyProtection="0"/>
    <xf numFmtId="38" fontId="163" fillId="13" borderId="0" applyNumberFormat="0" applyBorder="0" applyAlignment="0" applyProtection="0"/>
    <xf numFmtId="306" fontId="54" fillId="13" borderId="0" applyBorder="0" applyProtection="0"/>
    <xf numFmtId="0" fontId="228" fillId="0" borderId="7" applyNumberFormat="0" applyFill="0" applyBorder="0" applyAlignment="0" applyProtection="0">
      <alignment horizontal="center" vertical="center"/>
    </xf>
    <xf numFmtId="0" fontId="229" fillId="0" borderId="0" applyNumberFormat="0" applyFont="0" applyBorder="0" applyAlignment="0">
      <alignment horizontal="left" vertical="center"/>
    </xf>
    <xf numFmtId="307" fontId="164" fillId="0" borderId="0" applyFont="0" applyFill="0" applyBorder="0" applyAlignment="0" applyProtection="0"/>
    <xf numFmtId="307" fontId="164" fillId="0" borderId="0" applyFont="0" applyFill="0" applyBorder="0" applyAlignment="0" applyProtection="0"/>
    <xf numFmtId="307" fontId="164" fillId="0" borderId="0" applyFont="0" applyFill="0" applyBorder="0" applyAlignment="0" applyProtection="0"/>
    <xf numFmtId="307" fontId="164" fillId="0" borderId="0" applyFont="0" applyFill="0" applyBorder="0" applyAlignment="0" applyProtection="0"/>
    <xf numFmtId="0" fontId="187" fillId="38" borderId="0"/>
    <xf numFmtId="0" fontId="188" fillId="0" borderId="0">
      <alignment horizontal="left"/>
    </xf>
    <xf numFmtId="0" fontId="21" fillId="0" borderId="23">
      <alignment horizontal="left" vertical="center"/>
    </xf>
    <xf numFmtId="0" fontId="282" fillId="0" borderId="39" applyNumberFormat="0" applyFill="0" applyAlignment="0" applyProtection="0"/>
    <xf numFmtId="0" fontId="347" fillId="0" borderId="44" applyNumberFormat="0" applyFill="0" applyAlignment="0" applyProtection="0"/>
    <xf numFmtId="0" fontId="282" fillId="0" borderId="39" applyNumberFormat="0" applyFill="0" applyAlignment="0" applyProtection="0"/>
    <xf numFmtId="0" fontId="282" fillId="0" borderId="39" applyNumberFormat="0" applyFill="0" applyAlignment="0" applyProtection="0"/>
    <xf numFmtId="0" fontId="189" fillId="0" borderId="0" applyNumberFormat="0" applyFill="0" applyBorder="0" applyAlignment="0" applyProtection="0"/>
    <xf numFmtId="0" fontId="283" fillId="0" borderId="40" applyNumberFormat="0" applyFill="0" applyAlignment="0" applyProtection="0"/>
    <xf numFmtId="0" fontId="348" fillId="0" borderId="45" applyNumberFormat="0" applyFill="0" applyAlignment="0" applyProtection="0"/>
    <xf numFmtId="0" fontId="283" fillId="0" borderId="40" applyNumberFormat="0" applyFill="0" applyAlignment="0" applyProtection="0"/>
    <xf numFmtId="0" fontId="283" fillId="0" borderId="40" applyNumberFormat="0" applyFill="0" applyAlignment="0" applyProtection="0"/>
    <xf numFmtId="0" fontId="21" fillId="0" borderId="0" applyNumberFormat="0" applyFill="0" applyBorder="0" applyAlignment="0" applyProtection="0"/>
    <xf numFmtId="0" fontId="284" fillId="0" borderId="41" applyNumberFormat="0" applyFill="0" applyAlignment="0" applyProtection="0"/>
    <xf numFmtId="0" fontId="284" fillId="0" borderId="41" applyNumberFormat="0" applyFill="0" applyAlignment="0" applyProtection="0"/>
    <xf numFmtId="0" fontId="349" fillId="0" borderId="46" applyNumberFormat="0" applyFill="0" applyAlignment="0" applyProtection="0"/>
    <xf numFmtId="0" fontId="284" fillId="0" borderId="41" applyNumberFormat="0" applyFill="0" applyAlignment="0" applyProtection="0"/>
    <xf numFmtId="0" fontId="284" fillId="0" borderId="0" applyNumberFormat="0" applyFill="0" applyBorder="0" applyAlignment="0" applyProtection="0"/>
    <xf numFmtId="0" fontId="284" fillId="0" borderId="0" applyNumberFormat="0" applyFill="0" applyBorder="0" applyAlignment="0" applyProtection="0"/>
    <xf numFmtId="0" fontId="349" fillId="0" borderId="0" applyNumberFormat="0" applyFill="0" applyBorder="0" applyAlignment="0" applyProtection="0"/>
    <xf numFmtId="0" fontId="284" fillId="0" borderId="0" applyNumberFormat="0" applyFill="0" applyBorder="0" applyAlignment="0" applyProtection="0"/>
    <xf numFmtId="0" fontId="189" fillId="0" borderId="0" applyProtection="0"/>
    <xf numFmtId="0" fontId="325" fillId="0" borderId="0" applyProtection="0"/>
    <xf numFmtId="0" fontId="189" fillId="0" borderId="0" applyProtection="0"/>
    <xf numFmtId="0" fontId="21" fillId="0" borderId="0" applyProtection="0"/>
    <xf numFmtId="0" fontId="326" fillId="0" borderId="0" applyProtection="0"/>
    <xf numFmtId="0" fontId="21" fillId="0" borderId="0" applyProtection="0"/>
    <xf numFmtId="0" fontId="190" fillId="0" borderId="47">
      <alignment horizontal="center"/>
    </xf>
    <xf numFmtId="0" fontId="190" fillId="0" borderId="0">
      <alignment horizontal="center"/>
    </xf>
    <xf numFmtId="5" fontId="230" fillId="39" borderId="21" applyNumberFormat="0" applyAlignment="0">
      <alignment horizontal="left" vertical="top"/>
    </xf>
    <xf numFmtId="49" fontId="231" fillId="0" borderId="21">
      <alignment vertical="center"/>
    </xf>
    <xf numFmtId="0" fontId="53" fillId="0" borderId="0"/>
    <xf numFmtId="195" fontId="11" fillId="0" borderId="0" applyFont="0" applyFill="0" applyBorder="0" applyAlignment="0" applyProtection="0"/>
    <xf numFmtId="38" fontId="160" fillId="0" borderId="0" applyFont="0" applyFill="0" applyBorder="0" applyAlignment="0" applyProtection="0"/>
    <xf numFmtId="283" fontId="199" fillId="0" borderId="0" applyFont="0" applyFill="0" applyBorder="0" applyAlignment="0" applyProtection="0"/>
    <xf numFmtId="308" fontId="172" fillId="0" borderId="0" applyFont="0" applyFill="0" applyBorder="0" applyAlignment="0" applyProtection="0"/>
    <xf numFmtId="10" fontId="163" fillId="40" borderId="21" applyNumberFormat="0" applyBorder="0" applyAlignment="0" applyProtection="0"/>
    <xf numFmtId="0" fontId="285" fillId="18" borderId="35" applyNumberFormat="0" applyAlignment="0" applyProtection="0"/>
    <xf numFmtId="0" fontId="285" fillId="18" borderId="35" applyNumberFormat="0" applyAlignment="0" applyProtection="0"/>
    <xf numFmtId="0" fontId="285" fillId="18" borderId="35" applyNumberFormat="0" applyAlignment="0" applyProtection="0"/>
    <xf numFmtId="0" fontId="344" fillId="0" borderId="0"/>
    <xf numFmtId="0" fontId="285" fillId="18" borderId="35" applyNumberFormat="0" applyAlignment="0" applyProtection="0"/>
    <xf numFmtId="0" fontId="285" fillId="18" borderId="35" applyNumberFormat="0" applyAlignment="0" applyProtection="0"/>
    <xf numFmtId="0" fontId="285" fillId="18" borderId="35" applyNumberFormat="0" applyAlignment="0" applyProtection="0"/>
    <xf numFmtId="2" fontId="271" fillId="0" borderId="22" applyBorder="0"/>
    <xf numFmtId="0" fontId="327" fillId="0" borderId="0" applyNumberFormat="0" applyFill="0" applyBorder="0" applyAlignment="0" applyProtection="0">
      <alignment vertical="top"/>
      <protection locked="0"/>
    </xf>
    <xf numFmtId="0" fontId="327" fillId="0" borderId="0" applyNumberFormat="0" applyFill="0" applyBorder="0" applyAlignment="0" applyProtection="0">
      <alignment vertical="top"/>
      <protection locked="0"/>
    </xf>
    <xf numFmtId="0" fontId="328" fillId="0" borderId="0" applyNumberFormat="0" applyFill="0" applyBorder="0" applyAlignment="0" applyProtection="0">
      <alignment vertical="top"/>
      <protection locked="0"/>
    </xf>
    <xf numFmtId="0" fontId="329" fillId="0" borderId="0" applyNumberFormat="0" applyFill="0" applyBorder="0" applyAlignment="0" applyProtection="0">
      <alignment vertical="top"/>
      <protection locked="0"/>
    </xf>
    <xf numFmtId="0" fontId="328" fillId="0" borderId="0" applyNumberFormat="0" applyFill="0" applyBorder="0" applyAlignment="0" applyProtection="0">
      <alignment vertical="top"/>
      <protection locked="0"/>
    </xf>
    <xf numFmtId="0" fontId="327" fillId="0" borderId="0" applyNumberFormat="0" applyFill="0" applyBorder="0" applyAlignment="0" applyProtection="0">
      <alignment vertical="top"/>
      <protection locked="0"/>
    </xf>
    <xf numFmtId="0" fontId="327" fillId="0" borderId="0" applyNumberFormat="0" applyFill="0" applyBorder="0" applyAlignment="0" applyProtection="0">
      <alignment vertical="top"/>
      <protection locked="0"/>
    </xf>
    <xf numFmtId="195" fontId="11" fillId="0" borderId="0" applyFont="0" applyFill="0" applyBorder="0" applyAlignment="0" applyProtection="0"/>
    <xf numFmtId="0" fontId="11" fillId="0" borderId="0"/>
    <xf numFmtId="0" fontId="51" fillId="0" borderId="48">
      <alignment horizontal="centerContinuous"/>
    </xf>
    <xf numFmtId="0" fontId="160" fillId="0" borderId="0"/>
    <xf numFmtId="0" fontId="7" fillId="0" borderId="0"/>
    <xf numFmtId="0" fontId="64" fillId="0" borderId="0"/>
    <xf numFmtId="0" fontId="265" fillId="0" borderId="0"/>
    <xf numFmtId="0" fontId="11" fillId="0" borderId="0"/>
    <xf numFmtId="0" fontId="112" fillId="0" borderId="0"/>
    <xf numFmtId="0" fontId="64" fillId="0" borderId="0"/>
    <xf numFmtId="0" fontId="264" fillId="0" borderId="0"/>
    <xf numFmtId="0" fontId="53" fillId="0" borderId="0" applyNumberFormat="0" applyFont="0" applyFill="0" applyBorder="0" applyProtection="0">
      <alignment horizontal="left" vertical="center"/>
    </xf>
    <xf numFmtId="0" fontId="160" fillId="0" borderId="0"/>
    <xf numFmtId="198" fontId="217" fillId="0" borderId="0" applyFill="0" applyBorder="0" applyAlignment="0"/>
    <xf numFmtId="198" fontId="217" fillId="0" borderId="0" applyFill="0" applyBorder="0" applyAlignment="0"/>
    <xf numFmtId="266" fontId="215" fillId="0" borderId="0" applyFill="0" applyBorder="0" applyAlignment="0"/>
    <xf numFmtId="224" fontId="217" fillId="0" borderId="0" applyFill="0" applyBorder="0" applyAlignment="0"/>
    <xf numFmtId="198" fontId="217" fillId="0" borderId="0" applyFill="0" applyBorder="0" applyAlignment="0"/>
    <xf numFmtId="198" fontId="217" fillId="0" borderId="0" applyFill="0" applyBorder="0" applyAlignment="0"/>
    <xf numFmtId="266" fontId="215" fillId="0" borderId="0" applyFill="0" applyBorder="0" applyAlignment="0"/>
    <xf numFmtId="227" fontId="217" fillId="0" borderId="0" applyFill="0" applyBorder="0" applyAlignment="0"/>
    <xf numFmtId="227" fontId="217" fillId="0" borderId="0" applyFill="0" applyBorder="0" applyAlignment="0"/>
    <xf numFmtId="267" fontId="215" fillId="0" borderId="0" applyFill="0" applyBorder="0" applyAlignment="0"/>
    <xf numFmtId="224" fontId="217" fillId="0" borderId="0" applyFill="0" applyBorder="0" applyAlignment="0"/>
    <xf numFmtId="0" fontId="286" fillId="0" borderId="49" applyNumberFormat="0" applyFill="0" applyAlignment="0" applyProtection="0"/>
    <xf numFmtId="0" fontId="286" fillId="0" borderId="49" applyNumberFormat="0" applyFill="0" applyAlignment="0" applyProtection="0"/>
    <xf numFmtId="0" fontId="286" fillId="0" borderId="49" applyNumberFormat="0" applyFill="0" applyAlignment="0" applyProtection="0"/>
    <xf numFmtId="3" fontId="295" fillId="0" borderId="9" applyNumberFormat="0" applyAlignment="0">
      <alignment horizontal="center" vertical="center"/>
    </xf>
    <xf numFmtId="3" fontId="297" fillId="0" borderId="9" applyNumberFormat="0" applyAlignment="0">
      <alignment horizontal="center" vertical="center"/>
    </xf>
    <xf numFmtId="3" fontId="230" fillId="0" borderId="9" applyNumberFormat="0" applyAlignment="0">
      <alignment horizontal="center" vertical="center"/>
    </xf>
    <xf numFmtId="228" fontId="163" fillId="0" borderId="33" applyFont="0"/>
    <xf numFmtId="3" fontId="64" fillId="0" borderId="50"/>
    <xf numFmtId="216" fontId="191" fillId="0" borderId="4" applyNumberFormat="0" applyFont="0" applyFill="0" applyBorder="0">
      <alignment horizontal="center"/>
    </xf>
    <xf numFmtId="38" fontId="160" fillId="0" borderId="0" applyFont="0" applyFill="0" applyBorder="0" applyAlignment="0" applyProtection="0"/>
    <xf numFmtId="40" fontId="160" fillId="0" borderId="0" applyFont="0" applyFill="0" applyBorder="0" applyAlignment="0" applyProtection="0"/>
    <xf numFmtId="251" fontId="11" fillId="0" borderId="0" applyFont="0" applyFill="0" applyBorder="0" applyAlignment="0" applyProtection="0"/>
    <xf numFmtId="252" fontId="11" fillId="0" borderId="0" applyFont="0" applyFill="0" applyBorder="0" applyAlignment="0" applyProtection="0"/>
    <xf numFmtId="0" fontId="272" fillId="0" borderId="5"/>
    <xf numFmtId="0" fontId="300" fillId="0" borderId="5"/>
    <xf numFmtId="0" fontId="192" fillId="0" borderId="47"/>
    <xf numFmtId="196" fontId="214" fillId="0" borderId="4"/>
    <xf numFmtId="331" fontId="274" fillId="0" borderId="4"/>
    <xf numFmtId="222" fontId="64" fillId="0" borderId="4"/>
    <xf numFmtId="272" fontId="80" fillId="0" borderId="4"/>
    <xf numFmtId="217" fontId="160" fillId="0" borderId="0" applyFont="0" applyFill="0" applyBorder="0" applyAlignment="0" applyProtection="0"/>
    <xf numFmtId="218" fontId="160" fillId="0" borderId="0" applyFont="0" applyFill="0" applyBorder="0" applyAlignment="0" applyProtection="0"/>
    <xf numFmtId="253" fontId="11" fillId="0" borderId="0" applyFont="0" applyFill="0" applyBorder="0" applyAlignment="0" applyProtection="0"/>
    <xf numFmtId="254" fontId="11" fillId="0" borderId="0" applyFont="0" applyFill="0" applyBorder="0" applyAlignment="0" applyProtection="0"/>
    <xf numFmtId="0" fontId="148" fillId="0" borderId="0" applyNumberFormat="0" applyFont="0" applyFill="0" applyAlignment="0"/>
    <xf numFmtId="0" fontId="224" fillId="0" borderId="0">
      <alignment horizontal="justify" vertical="top"/>
    </xf>
    <xf numFmtId="0" fontId="287" fillId="27" borderId="0" applyNumberFormat="0" applyBorder="0" applyAlignment="0" applyProtection="0"/>
    <xf numFmtId="0" fontId="287" fillId="27" borderId="0" applyNumberFormat="0" applyBorder="0" applyAlignment="0" applyProtection="0"/>
    <xf numFmtId="0" fontId="287" fillId="27" borderId="0" applyNumberFormat="0" applyBorder="0" applyAlignment="0" applyProtection="0"/>
    <xf numFmtId="0" fontId="53" fillId="0" borderId="0"/>
    <xf numFmtId="0" fontId="18" fillId="0" borderId="0"/>
    <xf numFmtId="0" fontId="215" fillId="0" borderId="5" applyNumberFormat="0" applyAlignment="0">
      <alignment horizontal="center"/>
    </xf>
    <xf numFmtId="37" fontId="193" fillId="0" borderId="0"/>
    <xf numFmtId="37" fontId="193" fillId="0" borderId="0"/>
    <xf numFmtId="0" fontId="232" fillId="0" borderId="21" applyNumberFormat="0" applyFont="0" applyFill="0" applyBorder="0" applyAlignment="0">
      <alignment horizontal="center"/>
    </xf>
    <xf numFmtId="219" fontId="194" fillId="0" borderId="0"/>
    <xf numFmtId="219" fontId="194" fillId="0" borderId="0"/>
    <xf numFmtId="219" fontId="194" fillId="0" borderId="0"/>
    <xf numFmtId="219" fontId="346" fillId="0" borderId="0"/>
    <xf numFmtId="325" fontId="64" fillId="0" borderId="0"/>
    <xf numFmtId="275" fontId="301" fillId="0" borderId="0"/>
    <xf numFmtId="219" fontId="346" fillId="0" borderId="0"/>
    <xf numFmtId="0" fontId="233" fillId="0" borderId="0"/>
    <xf numFmtId="0" fontId="265" fillId="0" borderId="0"/>
    <xf numFmtId="0" fontId="275" fillId="0" borderId="0">
      <alignment vertical="top"/>
    </xf>
    <xf numFmtId="0" fontId="42" fillId="0" borderId="0"/>
    <xf numFmtId="0" fontId="11" fillId="0" borderId="0"/>
    <xf numFmtId="0" fontId="42" fillId="0" borderId="0"/>
    <xf numFmtId="0" fontId="64" fillId="0" borderId="0"/>
    <xf numFmtId="0" fontId="11" fillId="0" borderId="0"/>
    <xf numFmtId="0" fontId="64" fillId="0" borderId="0"/>
    <xf numFmtId="0" fontId="64" fillId="0" borderId="0"/>
    <xf numFmtId="0" fontId="42" fillId="0" borderId="0"/>
    <xf numFmtId="0" fontId="11" fillId="0" borderId="0">
      <alignment vertical="top"/>
    </xf>
    <xf numFmtId="0" fontId="11" fillId="0" borderId="0">
      <alignment vertical="top"/>
    </xf>
    <xf numFmtId="0" fontId="42" fillId="0" borderId="0"/>
    <xf numFmtId="0" fontId="1" fillId="0" borderId="0"/>
    <xf numFmtId="0" fontId="64" fillId="0" borderId="0"/>
    <xf numFmtId="0" fontId="11" fillId="0" borderId="0">
      <alignment vertical="top"/>
    </xf>
    <xf numFmtId="0" fontId="64" fillId="0" borderId="0"/>
    <xf numFmtId="0" fontId="64" fillId="0" borderId="0"/>
    <xf numFmtId="0" fontId="64" fillId="0" borderId="0"/>
    <xf numFmtId="0" fontId="64" fillId="0" borderId="0"/>
    <xf numFmtId="0" fontId="64" fillId="0" borderId="0"/>
    <xf numFmtId="0" fontId="265" fillId="0" borderId="0"/>
    <xf numFmtId="0" fontId="265" fillId="0" borderId="0"/>
    <xf numFmtId="0" fontId="265" fillId="0" borderId="0"/>
    <xf numFmtId="0" fontId="64" fillId="0" borderId="0"/>
    <xf numFmtId="0" fontId="42" fillId="0" borderId="0"/>
    <xf numFmtId="0" fontId="355" fillId="0" borderId="0"/>
    <xf numFmtId="0" fontId="80" fillId="0" borderId="0"/>
    <xf numFmtId="0" fontId="265" fillId="0" borderId="0"/>
    <xf numFmtId="0" fontId="265" fillId="0" borderId="0"/>
    <xf numFmtId="0" fontId="265" fillId="0" borderId="0"/>
    <xf numFmtId="0" fontId="265" fillId="0" borderId="0"/>
    <xf numFmtId="0" fontId="265" fillId="0" borderId="0"/>
    <xf numFmtId="0" fontId="11" fillId="0" borderId="0">
      <alignment vertical="top"/>
    </xf>
    <xf numFmtId="0" fontId="13" fillId="0" borderId="0"/>
    <xf numFmtId="0" fontId="11" fillId="0" borderId="0">
      <alignment vertical="top"/>
    </xf>
    <xf numFmtId="0" fontId="7" fillId="0" borderId="0"/>
    <xf numFmtId="0" fontId="264" fillId="0" borderId="0">
      <alignment vertical="top"/>
    </xf>
    <xf numFmtId="0" fontId="265" fillId="0" borderId="0"/>
    <xf numFmtId="0" fontId="265" fillId="0" borderId="0"/>
    <xf numFmtId="0" fontId="265" fillId="0" borderId="0"/>
    <xf numFmtId="0" fontId="265" fillId="0" borderId="0"/>
    <xf numFmtId="0" fontId="42" fillId="0" borderId="0"/>
    <xf numFmtId="0" fontId="265" fillId="0" borderId="0"/>
    <xf numFmtId="0" fontId="11" fillId="0" borderId="0"/>
    <xf numFmtId="0" fontId="355" fillId="0" borderId="0"/>
    <xf numFmtId="0" fontId="64" fillId="0" borderId="0"/>
    <xf numFmtId="0" fontId="265" fillId="0" borderId="0"/>
    <xf numFmtId="0" fontId="265" fillId="0" borderId="0"/>
    <xf numFmtId="0" fontId="265" fillId="0" borderId="0"/>
    <xf numFmtId="0" fontId="265" fillId="0" borderId="0"/>
    <xf numFmtId="0" fontId="265" fillId="0" borderId="0"/>
    <xf numFmtId="0" fontId="275" fillId="0" borderId="0">
      <alignment vertical="top"/>
    </xf>
    <xf numFmtId="0" fontId="355" fillId="0" borderId="0"/>
    <xf numFmtId="0" fontId="80" fillId="0" borderId="0"/>
    <xf numFmtId="0" fontId="80" fillId="0" borderId="0"/>
    <xf numFmtId="0" fontId="265" fillId="0" borderId="0"/>
    <xf numFmtId="0" fontId="265" fillId="0" borderId="0"/>
    <xf numFmtId="0" fontId="265" fillId="0" borderId="0"/>
    <xf numFmtId="0" fontId="265" fillId="0" borderId="0"/>
    <xf numFmtId="0" fontId="265" fillId="0" borderId="0"/>
    <xf numFmtId="0" fontId="265" fillId="0" borderId="0"/>
    <xf numFmtId="0" fontId="64" fillId="0" borderId="0">
      <alignment vertical="top"/>
    </xf>
    <xf numFmtId="0" fontId="215" fillId="0" borderId="0"/>
    <xf numFmtId="0" fontId="355" fillId="0" borderId="0"/>
    <xf numFmtId="0" fontId="11" fillId="0" borderId="0"/>
    <xf numFmtId="0" fontId="11" fillId="0" borderId="0"/>
    <xf numFmtId="0" fontId="11" fillId="0" borderId="0"/>
    <xf numFmtId="0" fontId="265" fillId="0" borderId="0"/>
    <xf numFmtId="0" fontId="265" fillId="0" borderId="0"/>
    <xf numFmtId="0" fontId="265" fillId="0" borderId="0"/>
    <xf numFmtId="0" fontId="265" fillId="0" borderId="0"/>
    <xf numFmtId="0" fontId="265" fillId="0" borderId="0"/>
    <xf numFmtId="0" fontId="64" fillId="0" borderId="0"/>
    <xf numFmtId="0" fontId="11" fillId="0" borderId="0"/>
    <xf numFmtId="0" fontId="355" fillId="0" borderId="0"/>
    <xf numFmtId="0" fontId="356" fillId="0" borderId="0"/>
    <xf numFmtId="0" fontId="357" fillId="0" borderId="0"/>
    <xf numFmtId="0" fontId="265" fillId="0" borderId="0"/>
    <xf numFmtId="0" fontId="265" fillId="0" borderId="0"/>
    <xf numFmtId="0" fontId="265" fillId="0" borderId="0"/>
    <xf numFmtId="0" fontId="265" fillId="0" borderId="0"/>
    <xf numFmtId="0" fontId="265" fillId="0" borderId="0"/>
    <xf numFmtId="0" fontId="265" fillId="0" borderId="0"/>
    <xf numFmtId="0" fontId="355" fillId="0" borderId="0"/>
    <xf numFmtId="0" fontId="265" fillId="0" borderId="0"/>
    <xf numFmtId="0" fontId="265" fillId="0" borderId="0"/>
    <xf numFmtId="0" fontId="265" fillId="0" borderId="0"/>
    <xf numFmtId="0" fontId="265" fillId="0" borderId="0"/>
    <xf numFmtId="0" fontId="265" fillId="0" borderId="0"/>
    <xf numFmtId="0" fontId="265" fillId="0" borderId="0"/>
    <xf numFmtId="0" fontId="42" fillId="0" borderId="0"/>
    <xf numFmtId="0" fontId="265" fillId="0" borderId="0"/>
    <xf numFmtId="0" fontId="265" fillId="0" borderId="0"/>
    <xf numFmtId="0" fontId="265" fillId="0" borderId="0"/>
    <xf numFmtId="0" fontId="265" fillId="0" borderId="0"/>
    <xf numFmtId="0" fontId="265" fillId="0" borderId="0"/>
    <xf numFmtId="0" fontId="265" fillId="0" borderId="0"/>
    <xf numFmtId="0" fontId="164" fillId="0" borderId="0"/>
    <xf numFmtId="0" fontId="11" fillId="0" borderId="0"/>
    <xf numFmtId="0" fontId="275" fillId="0" borderId="0"/>
    <xf numFmtId="0" fontId="11" fillId="0" borderId="0" applyNumberFormat="0" applyFont="0" applyFill="0" applyBorder="0">
      <alignment vertical="top"/>
      <protection locked="0"/>
    </xf>
    <xf numFmtId="0" fontId="7" fillId="0" borderId="0"/>
    <xf numFmtId="0" fontId="64" fillId="0" borderId="0"/>
    <xf numFmtId="0" fontId="275" fillId="0" borderId="0"/>
    <xf numFmtId="0" fontId="13" fillId="0" borderId="0"/>
    <xf numFmtId="0" fontId="275" fillId="0" borderId="0"/>
    <xf numFmtId="0" fontId="64" fillId="0" borderId="0"/>
    <xf numFmtId="0" fontId="13" fillId="0" borderId="0"/>
    <xf numFmtId="0" fontId="321" fillId="0" borderId="0"/>
    <xf numFmtId="0" fontId="357" fillId="0" borderId="0"/>
    <xf numFmtId="0" fontId="12" fillId="0" borderId="0"/>
    <xf numFmtId="0" fontId="275" fillId="0" borderId="0"/>
    <xf numFmtId="0" fontId="13" fillId="0" borderId="0"/>
    <xf numFmtId="0" fontId="64" fillId="0" borderId="0"/>
    <xf numFmtId="0" fontId="64" fillId="0" borderId="0"/>
    <xf numFmtId="0" fontId="275" fillId="0" borderId="0"/>
    <xf numFmtId="0" fontId="275" fillId="0" borderId="0"/>
    <xf numFmtId="0" fontId="7" fillId="0" borderId="0"/>
    <xf numFmtId="0" fontId="64" fillId="0" borderId="0"/>
    <xf numFmtId="0" fontId="13" fillId="0" borderId="0"/>
    <xf numFmtId="0" fontId="265" fillId="0" borderId="0"/>
    <xf numFmtId="0" fontId="356" fillId="0" borderId="0"/>
    <xf numFmtId="0" fontId="12" fillId="0" borderId="0"/>
    <xf numFmtId="0" fontId="11" fillId="0" borderId="0"/>
    <xf numFmtId="0" fontId="356" fillId="0" borderId="0"/>
    <xf numFmtId="0" fontId="275" fillId="0" borderId="0"/>
    <xf numFmtId="0" fontId="275" fillId="0" borderId="0"/>
    <xf numFmtId="0" fontId="275" fillId="0" borderId="0"/>
    <xf numFmtId="0" fontId="264" fillId="0" borderId="0"/>
    <xf numFmtId="0" fontId="64" fillId="0" borderId="0"/>
    <xf numFmtId="0" fontId="42" fillId="0" borderId="0"/>
    <xf numFmtId="0" fontId="265" fillId="0" borderId="0"/>
    <xf numFmtId="0" fontId="265" fillId="0" borderId="0"/>
    <xf numFmtId="0" fontId="265" fillId="0" borderId="0"/>
    <xf numFmtId="0" fontId="265" fillId="0" borderId="0"/>
    <xf numFmtId="0" fontId="265" fillId="0" borderId="0"/>
    <xf numFmtId="0" fontId="265" fillId="0" borderId="0"/>
    <xf numFmtId="0" fontId="64" fillId="0" borderId="0"/>
    <xf numFmtId="0" fontId="42" fillId="0" borderId="0"/>
    <xf numFmtId="0" fontId="265" fillId="0" borderId="0"/>
    <xf numFmtId="0" fontId="265" fillId="0" borderId="0"/>
    <xf numFmtId="0" fontId="265" fillId="0" borderId="0"/>
    <xf numFmtId="0" fontId="265" fillId="0" borderId="0"/>
    <xf numFmtId="0" fontId="265" fillId="0" borderId="0"/>
    <xf numFmtId="0" fontId="64" fillId="0" borderId="0"/>
    <xf numFmtId="0" fontId="64" fillId="0" borderId="0"/>
    <xf numFmtId="0" fontId="42" fillId="0" borderId="0"/>
    <xf numFmtId="0" fontId="275" fillId="0" borderId="0"/>
    <xf numFmtId="0" fontId="265" fillId="0" borderId="0"/>
    <xf numFmtId="0" fontId="42" fillId="0" borderId="0"/>
    <xf numFmtId="0" fontId="275" fillId="0" borderId="0"/>
    <xf numFmtId="0" fontId="64" fillId="0" borderId="0"/>
    <xf numFmtId="0" fontId="42" fillId="0" borderId="0"/>
    <xf numFmtId="0" fontId="275" fillId="0" borderId="0"/>
    <xf numFmtId="0" fontId="64" fillId="0" borderId="0"/>
    <xf numFmtId="0" fontId="42" fillId="0" borderId="0"/>
    <xf numFmtId="0" fontId="275" fillId="0" borderId="0"/>
    <xf numFmtId="0" fontId="64" fillId="0" borderId="0"/>
    <xf numFmtId="0" fontId="13" fillId="0" borderId="0"/>
    <xf numFmtId="0" fontId="42" fillId="0" borderId="0"/>
    <xf numFmtId="0" fontId="13" fillId="0" borderId="0"/>
    <xf numFmtId="0" fontId="11" fillId="0" borderId="0"/>
    <xf numFmtId="0" fontId="64" fillId="0" borderId="0"/>
    <xf numFmtId="0" fontId="354" fillId="0" borderId="0"/>
    <xf numFmtId="0" fontId="215" fillId="0" borderId="0"/>
    <xf numFmtId="0" fontId="215" fillId="0" borderId="0"/>
    <xf numFmtId="0" fontId="12" fillId="0" borderId="0"/>
    <xf numFmtId="0" fontId="64" fillId="0" borderId="0"/>
    <xf numFmtId="0" fontId="64" fillId="0" borderId="0"/>
    <xf numFmtId="0" fontId="64" fillId="0" borderId="0"/>
    <xf numFmtId="0" fontId="275" fillId="0" borderId="0"/>
    <xf numFmtId="0" fontId="330" fillId="0" borderId="0"/>
    <xf numFmtId="0" fontId="330" fillId="0" borderId="0"/>
    <xf numFmtId="0" fontId="64" fillId="0" borderId="0"/>
    <xf numFmtId="0" fontId="330" fillId="0" borderId="0"/>
    <xf numFmtId="0" fontId="292" fillId="0" borderId="0"/>
    <xf numFmtId="0" fontId="64" fillId="0" borderId="0"/>
    <xf numFmtId="0" fontId="166" fillId="0" borderId="0"/>
    <xf numFmtId="0" fontId="42" fillId="0" borderId="0"/>
    <xf numFmtId="0" fontId="11" fillId="0" borderId="0"/>
    <xf numFmtId="0" fontId="12" fillId="0" borderId="0"/>
    <xf numFmtId="0" fontId="64" fillId="0" borderId="0"/>
    <xf numFmtId="0" fontId="64" fillId="0" borderId="0"/>
    <xf numFmtId="0" fontId="64" fillId="0" borderId="0"/>
    <xf numFmtId="0" fontId="64" fillId="0" borderId="0"/>
    <xf numFmtId="0" fontId="42" fillId="0" borderId="0"/>
    <xf numFmtId="0" fontId="64" fillId="0" borderId="0"/>
    <xf numFmtId="0" fontId="68" fillId="0" borderId="0"/>
    <xf numFmtId="0" fontId="64" fillId="0" borderId="0"/>
    <xf numFmtId="0" fontId="64" fillId="0" borderId="0"/>
    <xf numFmtId="0" fontId="68" fillId="0" borderId="0"/>
    <xf numFmtId="0" fontId="64" fillId="0" borderId="0"/>
    <xf numFmtId="0" fontId="64" fillId="0" borderId="0"/>
    <xf numFmtId="0" fontId="68" fillId="0" borderId="0"/>
    <xf numFmtId="0" fontId="11" fillId="0" borderId="0"/>
    <xf numFmtId="0" fontId="7" fillId="0" borderId="0"/>
    <xf numFmtId="0" fontId="7" fillId="0" borderId="0"/>
    <xf numFmtId="0" fontId="37" fillId="0" borderId="0"/>
    <xf numFmtId="0" fontId="357" fillId="0" borderId="0"/>
    <xf numFmtId="0" fontId="42" fillId="0" borderId="0"/>
    <xf numFmtId="0" fontId="37" fillId="0" borderId="0"/>
    <xf numFmtId="0" fontId="64"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4" fillId="0" borderId="0"/>
    <xf numFmtId="0" fontId="42" fillId="0" borderId="0"/>
    <xf numFmtId="0" fontId="64" fillId="0" borderId="0"/>
    <xf numFmtId="0" fontId="64" fillId="0" borderId="0"/>
    <xf numFmtId="0" fontId="42" fillId="0" borderId="0"/>
    <xf numFmtId="0" fontId="42" fillId="0" borderId="0"/>
    <xf numFmtId="0" fontId="64" fillId="0" borderId="0"/>
    <xf numFmtId="0" fontId="64" fillId="0" borderId="0"/>
    <xf numFmtId="0" fontId="293" fillId="0" borderId="0"/>
    <xf numFmtId="0" fontId="64" fillId="0" borderId="0"/>
    <xf numFmtId="0" fontId="64" fillId="0" borderId="0"/>
    <xf numFmtId="0" fontId="64" fillId="0" borderId="0"/>
    <xf numFmtId="0" fontId="11" fillId="0" borderId="0"/>
    <xf numFmtId="0" fontId="11" fillId="0" borderId="0"/>
    <xf numFmtId="0" fontId="64" fillId="0" borderId="0"/>
    <xf numFmtId="0" fontId="264" fillId="0" borderId="0"/>
    <xf numFmtId="0" fontId="294" fillId="0" borderId="0"/>
    <xf numFmtId="0" fontId="64" fillId="0" borderId="0"/>
    <xf numFmtId="0" fontId="64" fillId="0" borderId="0"/>
    <xf numFmtId="0" fontId="42" fillId="0" borderId="0"/>
    <xf numFmtId="0" fontId="42" fillId="0" borderId="0"/>
    <xf numFmtId="0" fontId="357" fillId="0" borderId="0"/>
    <xf numFmtId="0" fontId="357" fillId="0" borderId="0"/>
    <xf numFmtId="0" fontId="166" fillId="0" borderId="0"/>
    <xf numFmtId="0" fontId="77" fillId="0" borderId="0"/>
    <xf numFmtId="0" fontId="331" fillId="0" borderId="0" applyNumberFormat="0" applyFill="0" applyBorder="0" applyProtection="0">
      <alignment vertical="top"/>
    </xf>
    <xf numFmtId="0" fontId="166" fillId="0" borderId="0"/>
    <xf numFmtId="0" fontId="64" fillId="0" borderId="0"/>
    <xf numFmtId="0" fontId="166" fillId="0" borderId="0"/>
    <xf numFmtId="0" fontId="11" fillId="0" borderId="0"/>
    <xf numFmtId="0" fontId="112" fillId="0" borderId="0"/>
    <xf numFmtId="0" fontId="331" fillId="0" borderId="0" applyNumberFormat="0" applyFill="0" applyBorder="0" applyProtection="0">
      <alignment vertical="top"/>
    </xf>
    <xf numFmtId="0" fontId="167" fillId="0" borderId="0"/>
    <xf numFmtId="0" fontId="166" fillId="0" borderId="0"/>
    <xf numFmtId="0" fontId="64" fillId="0" borderId="0"/>
    <xf numFmtId="0" fontId="11" fillId="0" borderId="0"/>
    <xf numFmtId="0" fontId="294" fillId="0" borderId="0"/>
    <xf numFmtId="0" fontId="11" fillId="0" borderId="0"/>
    <xf numFmtId="0" fontId="64" fillId="0" borderId="0"/>
    <xf numFmtId="0" fontId="64" fillId="0" borderId="0"/>
    <xf numFmtId="0" fontId="13" fillId="0" borderId="0"/>
    <xf numFmtId="0" fontId="275" fillId="0" borderId="0"/>
    <xf numFmtId="0" fontId="275" fillId="0" borderId="0"/>
    <xf numFmtId="0" fontId="265" fillId="0" borderId="0"/>
    <xf numFmtId="0" fontId="77" fillId="0" borderId="0"/>
    <xf numFmtId="0" fontId="64" fillId="0" borderId="0"/>
    <xf numFmtId="0" fontId="77" fillId="0" borderId="0"/>
    <xf numFmtId="0" fontId="11" fillId="0" borderId="0"/>
    <xf numFmtId="0" fontId="64" fillId="0" borderId="0"/>
    <xf numFmtId="0" fontId="11" fillId="0" borderId="0"/>
    <xf numFmtId="0" fontId="213" fillId="0" borderId="0" applyFont="0"/>
    <xf numFmtId="0" fontId="226" fillId="0" borderId="0"/>
    <xf numFmtId="0" fontId="11" fillId="22" borderId="43" applyNumberFormat="0" applyFont="0" applyAlignment="0" applyProtection="0"/>
    <xf numFmtId="0" fontId="64" fillId="22" borderId="43" applyNumberFormat="0" applyFont="0" applyAlignment="0" applyProtection="0"/>
    <xf numFmtId="0" fontId="11" fillId="22" borderId="43" applyNumberFormat="0" applyFont="0" applyAlignment="0" applyProtection="0"/>
    <xf numFmtId="0" fontId="11" fillId="22" borderId="43" applyNumberFormat="0" applyFont="0" applyAlignment="0" applyProtection="0"/>
    <xf numFmtId="309" fontId="310" fillId="0" borderId="0" applyFont="0" applyFill="0" applyBorder="0" applyProtection="0">
      <alignment vertical="top" wrapText="1"/>
    </xf>
    <xf numFmtId="3" fontId="11" fillId="0" borderId="0"/>
    <xf numFmtId="3" fontId="11" fillId="0" borderId="0"/>
    <xf numFmtId="0" fontId="215" fillId="0" borderId="0"/>
    <xf numFmtId="3" fontId="11" fillId="0" borderId="0"/>
    <xf numFmtId="3" fontId="11" fillId="0" borderId="0"/>
    <xf numFmtId="3" fontId="11" fillId="0" borderId="0"/>
    <xf numFmtId="3" fontId="11" fillId="0" borderId="0"/>
    <xf numFmtId="3" fontId="11" fillId="0" borderId="0"/>
    <xf numFmtId="196" fontId="212" fillId="0" borderId="0" applyFont="0" applyFill="0" applyBorder="0" applyAlignment="0" applyProtection="0"/>
    <xf numFmtId="195" fontId="212" fillId="0" borderId="0" applyFont="0" applyFill="0" applyBorder="0" applyAlignment="0" applyProtection="0"/>
    <xf numFmtId="0" fontId="234" fillId="0" borderId="0" applyNumberFormat="0" applyFill="0" applyBorder="0" applyAlignment="0" applyProtection="0"/>
    <xf numFmtId="0" fontId="234" fillId="0" borderId="0" applyNumberFormat="0" applyFill="0" applyBorder="0" applyAlignment="0" applyProtection="0"/>
    <xf numFmtId="0" fontId="164" fillId="0" borderId="0" applyNumberFormat="0" applyFill="0" applyBorder="0" applyAlignment="0" applyProtection="0"/>
    <xf numFmtId="0" fontId="164" fillId="0" borderId="0" applyNumberFormat="0" applyFill="0" applyBorder="0" applyAlignment="0" applyProtection="0"/>
    <xf numFmtId="0" fontId="164"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64" fillId="0" borderId="0" applyFont="0" applyFill="0" applyBorder="0" applyAlignment="0" applyProtection="0"/>
    <xf numFmtId="0" fontId="53" fillId="0" borderId="0"/>
    <xf numFmtId="0" fontId="288" fillId="26" borderId="38" applyNumberFormat="0" applyAlignment="0" applyProtection="0"/>
    <xf numFmtId="0" fontId="288" fillId="26" borderId="38" applyNumberFormat="0" applyAlignment="0" applyProtection="0"/>
    <xf numFmtId="0" fontId="288" fillId="26" borderId="38" applyNumberFormat="0" applyAlignment="0" applyProtection="0"/>
    <xf numFmtId="167" fontId="302" fillId="0" borderId="5" applyFont="0" applyBorder="0" applyAlignment="0"/>
    <xf numFmtId="238" fontId="64" fillId="0" borderId="0" applyFont="0" applyFill="0" applyBorder="0" applyAlignment="0" applyProtection="0"/>
    <xf numFmtId="238" fontId="64" fillId="0" borderId="0" applyFont="0" applyFill="0" applyBorder="0" applyAlignment="0" applyProtection="0"/>
    <xf numFmtId="41" fontId="64" fillId="0" borderId="0" applyFont="0" applyFill="0" applyBorder="0" applyAlignment="0" applyProtection="0"/>
    <xf numFmtId="14" fontId="51" fillId="0" borderId="0">
      <alignment horizontal="center" wrapText="1"/>
      <protection locked="0"/>
    </xf>
    <xf numFmtId="226" fontId="64" fillId="0" borderId="0" applyFont="0" applyFill="0" applyBorder="0" applyAlignment="0" applyProtection="0"/>
    <xf numFmtId="226" fontId="64" fillId="0" borderId="0" applyFont="0" applyFill="0" applyBorder="0" applyAlignment="0" applyProtection="0"/>
    <xf numFmtId="265" fontId="215" fillId="0" borderId="0" applyFont="0" applyFill="0" applyBorder="0" applyAlignment="0" applyProtection="0"/>
    <xf numFmtId="239" fontId="64" fillId="0" borderId="0" applyFont="0" applyFill="0" applyBorder="0" applyAlignment="0" applyProtection="0"/>
    <xf numFmtId="10" fontId="64" fillId="0" borderId="0" applyFont="0" applyFill="0" applyBorder="0" applyAlignment="0" applyProtection="0"/>
    <xf numFmtId="9" fontId="64" fillId="0" borderId="0" applyFont="0" applyFill="0" applyBorder="0" applyAlignment="0" applyProtection="0"/>
    <xf numFmtId="9" fontId="265" fillId="0" borderId="0" applyFont="0" applyFill="0" applyBorder="0" applyAlignment="0" applyProtection="0"/>
    <xf numFmtId="9" fontId="77"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64" fillId="0" borderId="0" applyFont="0" applyFill="0" applyBorder="0" applyAlignment="0" applyProtection="0"/>
    <xf numFmtId="9" fontId="11" fillId="0" borderId="0" applyFont="0" applyFill="0" applyBorder="0" applyAlignment="0" applyProtection="0"/>
    <xf numFmtId="0" fontId="64" fillId="0" borderId="0"/>
    <xf numFmtId="9" fontId="77" fillId="0" borderId="0" applyFont="0" applyFill="0" applyBorder="0" applyAlignment="0" applyProtection="0"/>
    <xf numFmtId="9" fontId="264" fillId="0" borderId="0" applyFont="0" applyFill="0" applyBorder="0" applyAlignment="0" applyProtection="0"/>
    <xf numFmtId="9" fontId="264" fillId="0" borderId="0" applyFont="0" applyFill="0" applyBorder="0" applyAlignment="0" applyProtection="0"/>
    <xf numFmtId="9" fontId="264" fillId="0" borderId="0" applyFont="0" applyFill="0" applyBorder="0" applyAlignment="0" applyProtection="0"/>
    <xf numFmtId="9" fontId="275" fillId="0" borderId="0" applyFont="0" applyFill="0" applyBorder="0" applyAlignment="0" applyProtection="0"/>
    <xf numFmtId="9" fontId="26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21" fillId="0" borderId="0" applyFont="0" applyFill="0" applyBorder="0" applyAlignment="0" applyProtection="0"/>
    <xf numFmtId="9" fontId="215" fillId="0" borderId="0" applyFont="0" applyFill="0" applyBorder="0" applyAlignment="0" applyProtection="0"/>
    <xf numFmtId="9" fontId="275" fillId="0" borderId="0" applyFont="0" applyFill="0" applyBorder="0" applyAlignment="0" applyProtection="0"/>
    <xf numFmtId="9" fontId="160" fillId="0" borderId="51" applyNumberFormat="0" applyBorder="0"/>
    <xf numFmtId="9" fontId="265" fillId="0" borderId="0" applyFont="0" applyFill="0" applyBorder="0" applyAlignment="0" applyProtection="0"/>
    <xf numFmtId="9" fontId="64" fillId="0" borderId="0" applyFont="0" applyFill="0" applyBorder="0" applyAlignment="0" applyProtection="0"/>
    <xf numFmtId="198" fontId="217" fillId="0" borderId="0" applyFill="0" applyBorder="0" applyAlignment="0"/>
    <xf numFmtId="198" fontId="217" fillId="0" borderId="0" applyFill="0" applyBorder="0" applyAlignment="0"/>
    <xf numFmtId="266" fontId="215" fillId="0" borderId="0" applyFill="0" applyBorder="0" applyAlignment="0"/>
    <xf numFmtId="224" fontId="217" fillId="0" borderId="0" applyFill="0" applyBorder="0" applyAlignment="0"/>
    <xf numFmtId="198" fontId="217" fillId="0" borderId="0" applyFill="0" applyBorder="0" applyAlignment="0"/>
    <xf numFmtId="198" fontId="217" fillId="0" borderId="0" applyFill="0" applyBorder="0" applyAlignment="0"/>
    <xf numFmtId="266" fontId="215" fillId="0" borderId="0" applyFill="0" applyBorder="0" applyAlignment="0"/>
    <xf numFmtId="227" fontId="217" fillId="0" borderId="0" applyFill="0" applyBorder="0" applyAlignment="0"/>
    <xf numFmtId="227" fontId="217" fillId="0" borderId="0" applyFill="0" applyBorder="0" applyAlignment="0"/>
    <xf numFmtId="267" fontId="215" fillId="0" borderId="0" applyFill="0" applyBorder="0" applyAlignment="0"/>
    <xf numFmtId="224" fontId="217" fillId="0" borderId="0" applyFill="0" applyBorder="0" applyAlignment="0"/>
    <xf numFmtId="0" fontId="235" fillId="0" borderId="0"/>
    <xf numFmtId="0" fontId="160" fillId="0" borderId="0" applyNumberFormat="0" applyFont="0" applyFill="0" applyBorder="0" applyAlignment="0" applyProtection="0">
      <alignment horizontal="left"/>
    </xf>
    <xf numFmtId="0" fontId="236" fillId="0" borderId="47">
      <alignment horizontal="center"/>
    </xf>
    <xf numFmtId="0" fontId="237" fillId="0" borderId="52" applyFont="0">
      <alignment horizontal="left"/>
    </xf>
    <xf numFmtId="0" fontId="237" fillId="0" borderId="52">
      <alignment horizontal="left"/>
    </xf>
    <xf numFmtId="1" fontId="64" fillId="0" borderId="9" applyNumberFormat="0" applyFill="0" applyAlignment="0" applyProtection="0">
      <alignment horizontal="center" vertical="center"/>
    </xf>
    <xf numFmtId="0" fontId="195" fillId="41" borderId="0" applyNumberFormat="0" applyFont="0" applyBorder="0" applyAlignment="0">
      <alignment horizontal="center"/>
    </xf>
    <xf numFmtId="14" fontId="196" fillId="0" borderId="0" applyNumberFormat="0" applyFill="0" applyBorder="0" applyAlignment="0" applyProtection="0">
      <alignment horizontal="left"/>
    </xf>
    <xf numFmtId="276" fontId="64" fillId="0" borderId="0" applyNumberFormat="0" applyFill="0" applyBorder="0" applyAlignment="0" applyProtection="0">
      <alignment horizontal="left"/>
    </xf>
    <xf numFmtId="0" fontId="328" fillId="0" borderId="0" applyNumberFormat="0" applyFill="0" applyBorder="0" applyAlignment="0" applyProtection="0">
      <alignment vertical="top"/>
      <protection locked="0"/>
    </xf>
    <xf numFmtId="0" fontId="215" fillId="0" borderId="0"/>
    <xf numFmtId="283" fontId="199"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41" fontId="199" fillId="0" borderId="0" applyFont="0" applyFill="0" applyBorder="0" applyAlignment="0" applyProtection="0"/>
    <xf numFmtId="4" fontId="203" fillId="42" borderId="53" applyNumberFormat="0" applyProtection="0">
      <alignment vertical="center"/>
    </xf>
    <xf numFmtId="4" fontId="238" fillId="42" borderId="53" applyNumberFormat="0" applyProtection="0">
      <alignment vertical="center"/>
    </xf>
    <xf numFmtId="4" fontId="204" fillId="42" borderId="53" applyNumberFormat="0" applyProtection="0">
      <alignment horizontal="left" vertical="center" indent="1"/>
    </xf>
    <xf numFmtId="4" fontId="204" fillId="43" borderId="0" applyNumberFormat="0" applyProtection="0">
      <alignment horizontal="left" vertical="center" indent="1"/>
    </xf>
    <xf numFmtId="4" fontId="204" fillId="44" borderId="53" applyNumberFormat="0" applyProtection="0">
      <alignment horizontal="right" vertical="center"/>
    </xf>
    <xf numFmtId="4" fontId="204" fillId="45" borderId="53" applyNumberFormat="0" applyProtection="0">
      <alignment horizontal="right" vertical="center"/>
    </xf>
    <xf numFmtId="4" fontId="204" fillId="46" borderId="53" applyNumberFormat="0" applyProtection="0">
      <alignment horizontal="right" vertical="center"/>
    </xf>
    <xf numFmtId="4" fontId="204" fillId="47" borderId="53" applyNumberFormat="0" applyProtection="0">
      <alignment horizontal="right" vertical="center"/>
    </xf>
    <xf numFmtId="4" fontId="204" fillId="48" borderId="53" applyNumberFormat="0" applyProtection="0">
      <alignment horizontal="right" vertical="center"/>
    </xf>
    <xf numFmtId="4" fontId="204" fillId="2" borderId="53" applyNumberFormat="0" applyProtection="0">
      <alignment horizontal="right" vertical="center"/>
    </xf>
    <xf numFmtId="4" fontId="204" fillId="49" borderId="53" applyNumberFormat="0" applyProtection="0">
      <alignment horizontal="right" vertical="center"/>
    </xf>
    <xf numFmtId="4" fontId="204" fillId="50" borderId="53" applyNumberFormat="0" applyProtection="0">
      <alignment horizontal="right" vertical="center"/>
    </xf>
    <xf numFmtId="4" fontId="204" fillId="51" borderId="53" applyNumberFormat="0" applyProtection="0">
      <alignment horizontal="right" vertical="center"/>
    </xf>
    <xf numFmtId="4" fontId="203" fillId="52" borderId="54" applyNumberFormat="0" applyProtection="0">
      <alignment horizontal="left" vertical="center" indent="1"/>
    </xf>
    <xf numFmtId="4" fontId="203" fillId="53" borderId="0" applyNumberFormat="0" applyProtection="0">
      <alignment horizontal="left" vertical="center" indent="1"/>
    </xf>
    <xf numFmtId="4" fontId="203" fillId="43" borderId="0" applyNumberFormat="0" applyProtection="0">
      <alignment horizontal="left" vertical="center" indent="1"/>
    </xf>
    <xf numFmtId="4" fontId="204" fillId="53" borderId="53" applyNumberFormat="0" applyProtection="0">
      <alignment horizontal="right" vertical="center"/>
    </xf>
    <xf numFmtId="4" fontId="167" fillId="53" borderId="0" applyNumberFormat="0" applyProtection="0">
      <alignment horizontal="left" vertical="center" indent="1"/>
    </xf>
    <xf numFmtId="4" fontId="167" fillId="43" borderId="0" applyNumberFormat="0" applyProtection="0">
      <alignment horizontal="left" vertical="center" indent="1"/>
    </xf>
    <xf numFmtId="4" fontId="204" fillId="54" borderId="53" applyNumberFormat="0" applyProtection="0">
      <alignment vertical="center"/>
    </xf>
    <xf numFmtId="4" fontId="239" fillId="54" borderId="53" applyNumberFormat="0" applyProtection="0">
      <alignment vertical="center"/>
    </xf>
    <xf numFmtId="4" fontId="203" fillId="53" borderId="55" applyNumberFormat="0" applyProtection="0">
      <alignment horizontal="left" vertical="center" indent="1"/>
    </xf>
    <xf numFmtId="4" fontId="204" fillId="54" borderId="53" applyNumberFormat="0" applyProtection="0">
      <alignment horizontal="right" vertical="center"/>
    </xf>
    <xf numFmtId="4" fontId="239" fillId="54" borderId="53" applyNumberFormat="0" applyProtection="0">
      <alignment horizontal="right" vertical="center"/>
    </xf>
    <xf numFmtId="4" fontId="203" fillId="53" borderId="53" applyNumberFormat="0" applyProtection="0">
      <alignment horizontal="left" vertical="center" indent="1"/>
    </xf>
    <xf numFmtId="4" fontId="240" fillId="39" borderId="55" applyNumberFormat="0" applyProtection="0">
      <alignment horizontal="left" vertical="center" indent="1"/>
    </xf>
    <xf numFmtId="4" fontId="241" fillId="54" borderId="53" applyNumberFormat="0" applyProtection="0">
      <alignment horizontal="right" vertical="center"/>
    </xf>
    <xf numFmtId="310" fontId="332" fillId="0" borderId="0" applyFont="0" applyFill="0" applyBorder="0" applyAlignment="0" applyProtection="0"/>
    <xf numFmtId="0" fontId="195" fillId="1" borderId="23" applyNumberFormat="0" applyFont="0" applyAlignment="0">
      <alignment horizontal="center"/>
    </xf>
    <xf numFmtId="0" fontId="333" fillId="0" borderId="0" applyNumberFormat="0" applyFill="0" applyBorder="0" applyAlignment="0" applyProtection="0">
      <alignment vertical="top"/>
      <protection locked="0"/>
    </xf>
    <xf numFmtId="3" fontId="309" fillId="0" borderId="0"/>
    <xf numFmtId="0" fontId="197" fillId="0" borderId="0" applyNumberFormat="0" applyFill="0" applyBorder="0" applyAlignment="0">
      <alignment horizontal="center"/>
    </xf>
    <xf numFmtId="0" fontId="334" fillId="0" borderId="18" applyNumberFormat="0" applyFill="0" applyBorder="0" applyAlignment="0" applyProtection="0"/>
    <xf numFmtId="167" fontId="242" fillId="0" borderId="0" applyNumberFormat="0" applyBorder="0" applyAlignment="0">
      <alignment horizontal="centerContinuous"/>
    </xf>
    <xf numFmtId="0" fontId="215" fillId="0" borderId="0" applyNumberFormat="0" applyFill="0" applyBorder="0" applyAlignment="0" applyProtection="0"/>
    <xf numFmtId="0" fontId="262" fillId="0" borderId="0"/>
    <xf numFmtId="167" fontId="245" fillId="0" borderId="0" applyFont="0" applyFill="0" applyBorder="0" applyAlignment="0" applyProtection="0"/>
    <xf numFmtId="195" fontId="11" fillId="0" borderId="0" applyFont="0" applyFill="0" applyBorder="0" applyAlignment="0" applyProtection="0"/>
    <xf numFmtId="195" fontId="11" fillId="0" borderId="0" applyFont="0" applyFill="0" applyBorder="0" applyAlignment="0" applyProtection="0"/>
    <xf numFmtId="195" fontId="11" fillId="0" borderId="0" applyFont="0" applyFill="0" applyBorder="0" applyAlignment="0" applyProtection="0"/>
    <xf numFmtId="167" fontId="245" fillId="0" borderId="0" applyFont="0" applyFill="0" applyBorder="0" applyAlignment="0" applyProtection="0"/>
    <xf numFmtId="167" fontId="245" fillId="0" borderId="0" applyFont="0" applyFill="0" applyBorder="0" applyAlignment="0" applyProtection="0"/>
    <xf numFmtId="41" fontId="199" fillId="0" borderId="0" applyFont="0" applyFill="0" applyBorder="0" applyAlignment="0" applyProtection="0"/>
    <xf numFmtId="164" fontId="199" fillId="0" borderId="0" applyFont="0" applyFill="0" applyBorder="0" applyAlignment="0" applyProtection="0"/>
    <xf numFmtId="164" fontId="199" fillId="0" borderId="0" applyFont="0" applyFill="0" applyBorder="0" applyAlignment="0" applyProtection="0"/>
    <xf numFmtId="283" fontId="199" fillId="0" borderId="0" applyFont="0" applyFill="0" applyBorder="0" applyAlignment="0" applyProtection="0"/>
    <xf numFmtId="167" fontId="245" fillId="0" borderId="0" applyFont="0" applyFill="0" applyBorder="0" applyAlignment="0" applyProtection="0"/>
    <xf numFmtId="164" fontId="199" fillId="0" borderId="0" applyFont="0" applyFill="0" applyBorder="0" applyAlignment="0" applyProtection="0"/>
    <xf numFmtId="164" fontId="199" fillId="0" borderId="0" applyFont="0" applyFill="0" applyBorder="0" applyAlignment="0" applyProtection="0"/>
    <xf numFmtId="41" fontId="199" fillId="0" borderId="0" applyFont="0" applyFill="0" applyBorder="0" applyAlignment="0" applyProtection="0"/>
    <xf numFmtId="41" fontId="199" fillId="0" borderId="0" applyFont="0" applyFill="0" applyBorder="0" applyAlignment="0" applyProtection="0"/>
    <xf numFmtId="42" fontId="199" fillId="0" borderId="0" applyFont="0" applyFill="0" applyBorder="0" applyAlignment="0" applyProtection="0"/>
    <xf numFmtId="288" fontId="199" fillId="0" borderId="0" applyFont="0" applyFill="0" applyBorder="0" applyAlignment="0" applyProtection="0"/>
    <xf numFmtId="287" fontId="309" fillId="0" borderId="0" applyFont="0" applyFill="0" applyBorder="0" applyAlignment="0" applyProtection="0"/>
    <xf numFmtId="287" fontId="199" fillId="0" borderId="0" applyFont="0" applyFill="0" applyBorder="0" applyAlignment="0" applyProtection="0"/>
    <xf numFmtId="0" fontId="215" fillId="0" borderId="0"/>
    <xf numFmtId="311" fontId="164" fillId="0" borderId="0" applyFont="0" applyFill="0" applyBorder="0" applyAlignment="0" applyProtection="0"/>
    <xf numFmtId="283" fontId="199" fillId="0" borderId="0" applyFont="0" applyFill="0" applyBorder="0" applyAlignment="0" applyProtection="0"/>
    <xf numFmtId="167" fontId="245" fillId="0" borderId="0" applyFont="0" applyFill="0" applyBorder="0" applyAlignment="0" applyProtection="0"/>
    <xf numFmtId="195" fontId="11" fillId="0" borderId="0" applyFont="0" applyFill="0" applyBorder="0" applyAlignment="0" applyProtection="0"/>
    <xf numFmtId="195" fontId="11" fillId="0" borderId="0" applyFont="0" applyFill="0" applyBorder="0" applyAlignment="0" applyProtection="0"/>
    <xf numFmtId="195" fontId="11" fillId="0" borderId="0" applyFont="0" applyFill="0" applyBorder="0" applyAlignment="0" applyProtection="0"/>
    <xf numFmtId="167" fontId="245" fillId="0" borderId="0" applyFont="0" applyFill="0" applyBorder="0" applyAlignment="0" applyProtection="0"/>
    <xf numFmtId="167" fontId="245" fillId="0" borderId="0" applyFont="0" applyFill="0" applyBorder="0" applyAlignment="0" applyProtection="0"/>
    <xf numFmtId="283" fontId="199" fillId="0" borderId="0" applyFont="0" applyFill="0" applyBorder="0" applyAlignment="0" applyProtection="0"/>
    <xf numFmtId="195" fontId="199" fillId="0" borderId="0" applyFont="0" applyFill="0" applyBorder="0" applyAlignment="0" applyProtection="0"/>
    <xf numFmtId="164" fontId="199" fillId="0" borderId="0" applyFont="0" applyFill="0" applyBorder="0" applyAlignment="0" applyProtection="0"/>
    <xf numFmtId="164" fontId="199" fillId="0" borderId="0" applyFont="0" applyFill="0" applyBorder="0" applyAlignment="0" applyProtection="0"/>
    <xf numFmtId="282" fontId="199" fillId="0" borderId="0" applyFont="0" applyFill="0" applyBorder="0" applyAlignment="0" applyProtection="0"/>
    <xf numFmtId="41" fontId="199" fillId="0" borderId="0" applyFont="0" applyFill="0" applyBorder="0" applyAlignment="0" applyProtection="0"/>
    <xf numFmtId="195" fontId="199" fillId="0" borderId="0" applyFont="0" applyFill="0" applyBorder="0" applyAlignment="0" applyProtection="0"/>
    <xf numFmtId="195" fontId="199" fillId="0" borderId="0" applyFont="0" applyFill="0" applyBorder="0" applyAlignment="0" applyProtection="0"/>
    <xf numFmtId="195" fontId="199" fillId="0" borderId="0" applyFont="0" applyFill="0" applyBorder="0" applyAlignment="0" applyProtection="0"/>
    <xf numFmtId="195" fontId="199" fillId="0" borderId="0" applyFont="0" applyFill="0" applyBorder="0" applyAlignment="0" applyProtection="0"/>
    <xf numFmtId="41" fontId="199" fillId="0" borderId="0" applyFont="0" applyFill="0" applyBorder="0" applyAlignment="0" applyProtection="0"/>
    <xf numFmtId="164" fontId="199" fillId="0" borderId="0" applyFont="0" applyFill="0" applyBorder="0" applyAlignment="0" applyProtection="0"/>
    <xf numFmtId="164" fontId="199" fillId="0" borderId="0" applyFont="0" applyFill="0" applyBorder="0" applyAlignment="0" applyProtection="0"/>
    <xf numFmtId="283" fontId="199" fillId="0" borderId="0" applyFont="0" applyFill="0" applyBorder="0" applyAlignment="0" applyProtection="0"/>
    <xf numFmtId="195" fontId="199" fillId="0" borderId="0" applyFont="0" applyFill="0" applyBorder="0" applyAlignment="0" applyProtection="0"/>
    <xf numFmtId="282" fontId="199" fillId="0" borderId="0" applyFont="0" applyFill="0" applyBorder="0" applyAlignment="0" applyProtection="0"/>
    <xf numFmtId="195" fontId="199" fillId="0" borderId="0" applyFont="0" applyFill="0" applyBorder="0" applyAlignment="0" applyProtection="0"/>
    <xf numFmtId="283" fontId="199" fillId="0" borderId="0" applyFont="0" applyFill="0" applyBorder="0" applyAlignment="0" applyProtection="0"/>
    <xf numFmtId="283" fontId="199" fillId="0" borderId="0" applyFont="0" applyFill="0" applyBorder="0" applyAlignment="0" applyProtection="0"/>
    <xf numFmtId="164" fontId="199" fillId="0" borderId="0" applyFont="0" applyFill="0" applyBorder="0" applyAlignment="0" applyProtection="0"/>
    <xf numFmtId="41" fontId="199" fillId="0" borderId="0" applyFont="0" applyFill="0" applyBorder="0" applyAlignment="0" applyProtection="0"/>
    <xf numFmtId="195" fontId="199" fillId="0" borderId="0" applyFont="0" applyFill="0" applyBorder="0" applyAlignment="0" applyProtection="0"/>
    <xf numFmtId="283" fontId="199" fillId="0" borderId="0" applyFont="0" applyFill="0" applyBorder="0" applyAlignment="0" applyProtection="0"/>
    <xf numFmtId="41" fontId="199" fillId="0" borderId="0" applyFont="0" applyFill="0" applyBorder="0" applyAlignment="0" applyProtection="0"/>
    <xf numFmtId="283" fontId="199" fillId="0" borderId="0" applyFont="0" applyFill="0" applyBorder="0" applyAlignment="0" applyProtection="0"/>
    <xf numFmtId="41" fontId="199" fillId="0" borderId="0" applyFont="0" applyFill="0" applyBorder="0" applyAlignment="0" applyProtection="0"/>
    <xf numFmtId="164" fontId="199" fillId="0" borderId="0" applyFont="0" applyFill="0" applyBorder="0" applyAlignment="0" applyProtection="0"/>
    <xf numFmtId="195" fontId="199" fillId="0" borderId="0" applyFont="0" applyFill="0" applyBorder="0" applyAlignment="0" applyProtection="0"/>
    <xf numFmtId="41" fontId="199" fillId="0" borderId="0" applyFont="0" applyFill="0" applyBorder="0" applyAlignment="0" applyProtection="0"/>
    <xf numFmtId="290" fontId="199" fillId="0" borderId="0" applyFont="0" applyFill="0" applyBorder="0" applyAlignment="0" applyProtection="0"/>
    <xf numFmtId="291" fontId="199" fillId="0" borderId="0" applyFont="0" applyFill="0" applyBorder="0" applyAlignment="0" applyProtection="0"/>
    <xf numFmtId="41" fontId="199" fillId="0" borderId="0" applyFont="0" applyFill="0" applyBorder="0" applyAlignment="0" applyProtection="0"/>
    <xf numFmtId="42" fontId="199" fillId="0" borderId="0" applyFont="0" applyFill="0" applyBorder="0" applyAlignment="0" applyProtection="0"/>
    <xf numFmtId="42" fontId="199" fillId="0" borderId="0" applyFont="0" applyFill="0" applyBorder="0" applyAlignment="0" applyProtection="0"/>
    <xf numFmtId="287" fontId="199" fillId="0" borderId="0" applyFont="0" applyFill="0" applyBorder="0" applyAlignment="0" applyProtection="0"/>
    <xf numFmtId="288" fontId="199" fillId="0" borderId="0" applyFont="0" applyFill="0" applyBorder="0" applyAlignment="0" applyProtection="0"/>
    <xf numFmtId="287" fontId="309" fillId="0" borderId="0" applyFont="0" applyFill="0" applyBorder="0" applyAlignment="0" applyProtection="0"/>
    <xf numFmtId="164" fontId="199" fillId="0" borderId="0" applyFont="0" applyFill="0" applyBorder="0" applyAlignment="0" applyProtection="0"/>
    <xf numFmtId="288" fontId="199" fillId="0" borderId="0" applyFont="0" applyFill="0" applyBorder="0" applyAlignment="0" applyProtection="0"/>
    <xf numFmtId="287" fontId="199" fillId="0" borderId="0" applyFont="0" applyFill="0" applyBorder="0" applyAlignment="0" applyProtection="0"/>
    <xf numFmtId="289" fontId="199" fillId="0" borderId="0" applyFont="0" applyFill="0" applyBorder="0" applyAlignment="0" applyProtection="0"/>
    <xf numFmtId="0" fontId="215" fillId="0" borderId="0"/>
    <xf numFmtId="311" fontId="164" fillId="0" borderId="0" applyFont="0" applyFill="0" applyBorder="0" applyAlignment="0" applyProtection="0"/>
    <xf numFmtId="282" fontId="199" fillId="0" borderId="0" applyFont="0" applyFill="0" applyBorder="0" applyAlignment="0" applyProtection="0"/>
    <xf numFmtId="41" fontId="199" fillId="0" borderId="0" applyFont="0" applyFill="0" applyBorder="0" applyAlignment="0" applyProtection="0"/>
    <xf numFmtId="41" fontId="199" fillId="0" borderId="0" applyFont="0" applyFill="0" applyBorder="0" applyAlignment="0" applyProtection="0"/>
    <xf numFmtId="14" fontId="335" fillId="0" borderId="0"/>
    <xf numFmtId="0" fontId="273" fillId="0" borderId="0"/>
    <xf numFmtId="201" fontId="215" fillId="0" borderId="31" applyNumberFormat="0" applyBorder="0">
      <alignment horizontal="center"/>
    </xf>
    <xf numFmtId="0" fontId="192" fillId="0" borderId="0"/>
    <xf numFmtId="40" fontId="198" fillId="0" borderId="0" applyBorder="0">
      <alignment horizontal="right"/>
    </xf>
    <xf numFmtId="40" fontId="303" fillId="0" borderId="0" applyBorder="0">
      <alignment horizontal="right"/>
    </xf>
    <xf numFmtId="0" fontId="336" fillId="0" borderId="0"/>
    <xf numFmtId="240" fontId="11" fillId="0" borderId="22">
      <alignment horizontal="right" vertical="center"/>
    </xf>
    <xf numFmtId="312" fontId="80" fillId="0" borderId="22">
      <alignment horizontal="right" vertical="center"/>
    </xf>
    <xf numFmtId="312" fontId="80" fillId="0" borderId="22">
      <alignment horizontal="right" vertical="center"/>
    </xf>
    <xf numFmtId="312" fontId="80" fillId="0" borderId="22">
      <alignment horizontal="right" vertical="center"/>
    </xf>
    <xf numFmtId="273" fontId="11" fillId="0" borderId="22">
      <alignment horizontal="right" vertical="center"/>
    </xf>
    <xf numFmtId="328" fontId="164" fillId="0" borderId="22">
      <alignment horizontal="right" vertical="center"/>
    </xf>
    <xf numFmtId="328" fontId="164" fillId="0" borderId="22">
      <alignment horizontal="right" vertical="center"/>
    </xf>
    <xf numFmtId="328" fontId="164"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73" fontId="11" fillId="0" borderId="22">
      <alignment horizontal="right" vertical="center"/>
    </xf>
    <xf numFmtId="273" fontId="11" fillId="0" borderId="22">
      <alignment horizontal="right" vertical="center"/>
    </xf>
    <xf numFmtId="273" fontId="11" fillId="0" borderId="22">
      <alignment horizontal="right" vertical="center"/>
    </xf>
    <xf numFmtId="273" fontId="11" fillId="0" borderId="22">
      <alignment horizontal="right" vertical="center"/>
    </xf>
    <xf numFmtId="273" fontId="11" fillId="0" borderId="22">
      <alignment horizontal="right" vertical="center"/>
    </xf>
    <xf numFmtId="273" fontId="11" fillId="0" borderId="22">
      <alignment horizontal="right" vertical="center"/>
    </xf>
    <xf numFmtId="273" fontId="11" fillId="0" borderId="22">
      <alignment horizontal="right" vertical="center"/>
    </xf>
    <xf numFmtId="273" fontId="11" fillId="0" borderId="22">
      <alignment horizontal="right" vertical="center"/>
    </xf>
    <xf numFmtId="231" fontId="164" fillId="0" borderId="22">
      <alignment horizontal="right" vertical="center"/>
    </xf>
    <xf numFmtId="256" fontId="80" fillId="0" borderId="22">
      <alignment horizontal="right" vertical="center"/>
    </xf>
    <xf numFmtId="256" fontId="80" fillId="0" borderId="22">
      <alignment horizontal="right" vertical="center"/>
    </xf>
    <xf numFmtId="231" fontId="164" fillId="0" borderId="22">
      <alignment horizontal="right" vertical="center"/>
    </xf>
    <xf numFmtId="256" fontId="80" fillId="0" borderId="22">
      <alignment horizontal="right" vertical="center"/>
    </xf>
    <xf numFmtId="256" fontId="80" fillId="0" borderId="22">
      <alignment horizontal="right" vertical="center"/>
    </xf>
    <xf numFmtId="273" fontId="11" fillId="0" borderId="22">
      <alignment horizontal="right" vertical="center"/>
    </xf>
    <xf numFmtId="273" fontId="11" fillId="0" borderId="22">
      <alignment horizontal="right" vertical="center"/>
    </xf>
    <xf numFmtId="256" fontId="80"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40" fontId="11" fillId="0" borderId="22">
      <alignment horizontal="right" vertical="center"/>
    </xf>
    <xf numFmtId="222" fontId="243"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22" fontId="243"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31" fontId="164" fillId="0" borderId="22">
      <alignment horizontal="right" vertical="center"/>
    </xf>
    <xf numFmtId="231" fontId="164" fillId="0" borderId="22">
      <alignment horizontal="right" vertical="center"/>
    </xf>
    <xf numFmtId="256" fontId="80" fillId="0" borderId="22">
      <alignment horizontal="right" vertical="center"/>
    </xf>
    <xf numFmtId="256" fontId="80" fillId="0" borderId="22">
      <alignment horizontal="right" vertical="center"/>
    </xf>
    <xf numFmtId="231" fontId="164" fillId="0" borderId="22">
      <alignment horizontal="right" vertical="center"/>
    </xf>
    <xf numFmtId="256" fontId="80" fillId="0" borderId="22">
      <alignment horizontal="right" vertical="center"/>
    </xf>
    <xf numFmtId="256" fontId="80" fillId="0" borderId="22">
      <alignment horizontal="right" vertical="center"/>
    </xf>
    <xf numFmtId="240" fontId="11"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73" fontId="11" fillId="0" borderId="22">
      <alignment horizontal="right" vertical="center"/>
    </xf>
    <xf numFmtId="231" fontId="164" fillId="0" borderId="22">
      <alignment horizontal="right" vertical="center"/>
    </xf>
    <xf numFmtId="200" fontId="64" fillId="0" borderId="22">
      <alignment horizontal="right" vertical="center"/>
    </xf>
    <xf numFmtId="200" fontId="64" fillId="0" borderId="22">
      <alignment horizontal="right" vertical="center"/>
    </xf>
    <xf numFmtId="256" fontId="80" fillId="0" borderId="22">
      <alignment horizontal="right" vertical="center"/>
    </xf>
    <xf numFmtId="241" fontId="199"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66" fontId="11" fillId="0" borderId="22">
      <alignment horizontal="right" vertical="center"/>
    </xf>
    <xf numFmtId="266" fontId="11" fillId="0" borderId="22">
      <alignment horizontal="right" vertical="center"/>
    </xf>
    <xf numFmtId="313" fontId="64" fillId="0" borderId="22">
      <alignment horizontal="right" vertical="center"/>
    </xf>
    <xf numFmtId="313" fontId="265" fillId="0" borderId="22">
      <alignment horizontal="right" vertical="center"/>
    </xf>
    <xf numFmtId="266" fontId="11" fillId="0" borderId="22">
      <alignment horizontal="right" vertical="center"/>
    </xf>
    <xf numFmtId="266" fontId="11" fillId="0" borderId="22">
      <alignment horizontal="right" vertical="center"/>
    </xf>
    <xf numFmtId="255" fontId="245" fillId="0" borderId="22">
      <alignment horizontal="right" vertical="center"/>
    </xf>
    <xf numFmtId="240" fontId="11" fillId="0" borderId="22">
      <alignment horizontal="right" vertical="center"/>
    </xf>
    <xf numFmtId="240" fontId="11" fillId="0" borderId="22">
      <alignment horizontal="right" vertical="center"/>
    </xf>
    <xf numFmtId="256" fontId="80" fillId="0" borderId="22">
      <alignment horizontal="right" vertical="center"/>
    </xf>
    <xf numFmtId="231" fontId="164" fillId="0" borderId="22">
      <alignment horizontal="right" vertical="center"/>
    </xf>
    <xf numFmtId="231" fontId="164" fillId="0" borderId="22">
      <alignment horizontal="right" vertical="center"/>
    </xf>
    <xf numFmtId="256" fontId="80" fillId="0" borderId="22">
      <alignment horizontal="right" vertical="center"/>
    </xf>
    <xf numFmtId="240" fontId="11" fillId="0" borderId="22">
      <alignment horizontal="right" vertical="center"/>
    </xf>
    <xf numFmtId="240" fontId="11" fillId="0" borderId="22">
      <alignment horizontal="right" vertical="center"/>
    </xf>
    <xf numFmtId="240" fontId="11" fillId="0" borderId="22">
      <alignment horizontal="right" vertical="center"/>
    </xf>
    <xf numFmtId="240" fontId="11" fillId="0" borderId="22">
      <alignment horizontal="right" vertical="center"/>
    </xf>
    <xf numFmtId="240" fontId="11" fillId="0" borderId="22">
      <alignment horizontal="right" vertical="center"/>
    </xf>
    <xf numFmtId="240" fontId="11" fillId="0" borderId="22">
      <alignment horizontal="right" vertical="center"/>
    </xf>
    <xf numFmtId="240" fontId="11"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5" fontId="245" fillId="0" borderId="22">
      <alignment horizontal="right" vertical="center"/>
    </xf>
    <xf numFmtId="255" fontId="245" fillId="0" borderId="22">
      <alignment horizontal="right" vertical="center"/>
    </xf>
    <xf numFmtId="277" fontId="11"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77" fontId="11" fillId="0" borderId="22">
      <alignment horizontal="right" vertical="center"/>
    </xf>
    <xf numFmtId="277" fontId="11" fillId="0" borderId="22">
      <alignment horizontal="right" vertical="center"/>
    </xf>
    <xf numFmtId="277" fontId="11" fillId="0" borderId="22">
      <alignment horizontal="right" vertical="center"/>
    </xf>
    <xf numFmtId="277" fontId="11" fillId="0" borderId="22">
      <alignment horizontal="right" vertical="center"/>
    </xf>
    <xf numFmtId="277" fontId="11" fillId="0" borderId="22">
      <alignment horizontal="right" vertical="center"/>
    </xf>
    <xf numFmtId="277" fontId="11" fillId="0" borderId="22">
      <alignment horizontal="right" vertical="center"/>
    </xf>
    <xf numFmtId="255" fontId="245" fillId="0" borderId="22">
      <alignment horizontal="right" vertical="center"/>
    </xf>
    <xf numFmtId="241" fontId="199" fillId="0" borderId="22">
      <alignment horizontal="right" vertical="center"/>
    </xf>
    <xf numFmtId="241" fontId="199" fillId="0" borderId="22">
      <alignment horizontal="right" vertical="center"/>
    </xf>
    <xf numFmtId="241" fontId="199" fillId="0" borderId="22">
      <alignment horizontal="right" vertical="center"/>
    </xf>
    <xf numFmtId="241" fontId="199" fillId="0" borderId="22">
      <alignment horizontal="right" vertical="center"/>
    </xf>
    <xf numFmtId="241" fontId="199" fillId="0" borderId="22">
      <alignment horizontal="right" vertical="center"/>
    </xf>
    <xf numFmtId="241" fontId="199"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56" fontId="80" fillId="0" borderId="22">
      <alignment horizontal="right" vertical="center"/>
    </xf>
    <xf numFmtId="256" fontId="80" fillId="0" borderId="22">
      <alignment horizontal="right" vertical="center"/>
    </xf>
    <xf numFmtId="231" fontId="164" fillId="0" borderId="22">
      <alignment horizontal="right" vertical="center"/>
    </xf>
    <xf numFmtId="231" fontId="164" fillId="0" borderId="22">
      <alignment horizontal="right" vertical="center"/>
    </xf>
    <xf numFmtId="241" fontId="199" fillId="0" borderId="22">
      <alignment horizontal="right" vertical="center"/>
    </xf>
    <xf numFmtId="231" fontId="164" fillId="0" borderId="22">
      <alignment horizontal="right" vertical="center"/>
    </xf>
    <xf numFmtId="256" fontId="80"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314" fontId="64" fillId="0" borderId="22">
      <alignment horizontal="right" vertical="center"/>
    </xf>
    <xf numFmtId="314" fontId="265" fillId="0" borderId="22">
      <alignment horizontal="right" vertical="center"/>
    </xf>
    <xf numFmtId="241" fontId="199" fillId="0" borderId="22">
      <alignment horizontal="right" vertical="center"/>
    </xf>
    <xf numFmtId="241" fontId="199" fillId="0" borderId="22">
      <alignment horizontal="right" vertical="center"/>
    </xf>
    <xf numFmtId="255" fontId="245"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315" fontId="337" fillId="13" borderId="56" applyFont="0" applyFill="0" applyBorder="0"/>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315" fontId="337" fillId="13" borderId="56" applyFont="0" applyFill="0" applyBorder="0"/>
    <xf numFmtId="314" fontId="64" fillId="0" borderId="22">
      <alignment horizontal="right" vertical="center"/>
    </xf>
    <xf numFmtId="314" fontId="265"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66" fontId="11" fillId="0" borderId="22">
      <alignment horizontal="right" vertical="center"/>
    </xf>
    <xf numFmtId="266" fontId="11" fillId="0" borderId="22">
      <alignment horizontal="right" vertical="center"/>
    </xf>
    <xf numFmtId="314" fontId="64" fillId="0" borderId="22">
      <alignment horizontal="right" vertical="center"/>
    </xf>
    <xf numFmtId="314" fontId="265"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314" fontId="64" fillId="0" borderId="22">
      <alignment horizontal="right" vertical="center"/>
    </xf>
    <xf numFmtId="314" fontId="265" fillId="0" borderId="22">
      <alignment horizontal="right" vertical="center"/>
    </xf>
    <xf numFmtId="314" fontId="64" fillId="0" borderId="22">
      <alignment horizontal="right" vertical="center"/>
    </xf>
    <xf numFmtId="314" fontId="265" fillId="0" borderId="22">
      <alignment horizontal="right" vertical="center"/>
    </xf>
    <xf numFmtId="241" fontId="199" fillId="0" borderId="22">
      <alignment horizontal="right" vertical="center"/>
    </xf>
    <xf numFmtId="241" fontId="199" fillId="0" borderId="22">
      <alignment horizontal="right" vertical="center"/>
    </xf>
    <xf numFmtId="231" fontId="164" fillId="0" borderId="22">
      <alignment horizontal="right" vertical="center"/>
    </xf>
    <xf numFmtId="314" fontId="64" fillId="0" borderId="22">
      <alignment horizontal="right" vertical="center"/>
    </xf>
    <xf numFmtId="314" fontId="265" fillId="0" borderId="22">
      <alignment horizontal="right" vertical="center"/>
    </xf>
    <xf numFmtId="266" fontId="11" fillId="0" borderId="22">
      <alignment horizontal="right" vertical="center"/>
    </xf>
    <xf numFmtId="266" fontId="11" fillId="0" borderId="22">
      <alignment horizontal="right" vertical="center"/>
    </xf>
    <xf numFmtId="231" fontId="164" fillId="0" borderId="22">
      <alignment horizontal="right" vertical="center"/>
    </xf>
    <xf numFmtId="240" fontId="11" fillId="0" borderId="22">
      <alignment horizontal="right" vertical="center"/>
    </xf>
    <xf numFmtId="240" fontId="11" fillId="0" borderId="22">
      <alignment horizontal="right" vertical="center"/>
    </xf>
    <xf numFmtId="273" fontId="11" fillId="0" borderId="22">
      <alignment horizontal="right" vertical="center"/>
    </xf>
    <xf numFmtId="273" fontId="11" fillId="0" borderId="22">
      <alignment horizontal="right" vertical="center"/>
    </xf>
    <xf numFmtId="273" fontId="11"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02" fontId="11" fillId="0" borderId="22">
      <alignment horizontal="right" vertical="center"/>
    </xf>
    <xf numFmtId="202" fontId="11"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31" fontId="164" fillId="0" borderId="22">
      <alignment horizontal="right" vertical="center"/>
    </xf>
    <xf numFmtId="244" fontId="11" fillId="0" borderId="22">
      <alignment horizontal="right" vertical="center"/>
    </xf>
    <xf numFmtId="244" fontId="11"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31" fontId="164" fillId="0" borderId="22">
      <alignment horizontal="right" vertical="center"/>
    </xf>
    <xf numFmtId="231" fontId="164"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73" fontId="11" fillId="0" borderId="22">
      <alignment horizontal="right" vertical="center"/>
    </xf>
    <xf numFmtId="241" fontId="199" fillId="0" borderId="22">
      <alignment horizontal="right" vertical="center"/>
    </xf>
    <xf numFmtId="326" fontId="164" fillId="0" borderId="22">
      <alignment horizontal="right" vertical="center"/>
    </xf>
    <xf numFmtId="326" fontId="164" fillId="0" borderId="22">
      <alignment horizontal="right" vertical="center"/>
    </xf>
    <xf numFmtId="326" fontId="164" fillId="0" borderId="22">
      <alignment horizontal="right" vertical="center"/>
    </xf>
    <xf numFmtId="326" fontId="164" fillId="0" borderId="22">
      <alignment horizontal="right" vertical="center"/>
    </xf>
    <xf numFmtId="326" fontId="164" fillId="0" borderId="22">
      <alignment horizontal="right" vertical="center"/>
    </xf>
    <xf numFmtId="326" fontId="164" fillId="0" borderId="22">
      <alignment horizontal="right" vertical="center"/>
    </xf>
    <xf numFmtId="326" fontId="164" fillId="0" borderId="22">
      <alignment horizontal="right" vertical="center"/>
    </xf>
    <xf numFmtId="326" fontId="164" fillId="0" borderId="22">
      <alignment horizontal="right" vertical="center"/>
    </xf>
    <xf numFmtId="326" fontId="164" fillId="0" borderId="22">
      <alignment horizontal="right" vertical="center"/>
    </xf>
    <xf numFmtId="231" fontId="164" fillId="0" borderId="22">
      <alignment horizontal="right" vertical="center"/>
    </xf>
    <xf numFmtId="231" fontId="164" fillId="0" borderId="22">
      <alignment horizontal="right" vertical="center"/>
    </xf>
    <xf numFmtId="312" fontId="80" fillId="0" borderId="22">
      <alignment horizontal="right" vertical="center"/>
    </xf>
    <xf numFmtId="312" fontId="80" fillId="0" borderId="22">
      <alignment horizontal="right" vertical="center"/>
    </xf>
    <xf numFmtId="312" fontId="80" fillId="0" borderId="22">
      <alignment horizontal="right" vertical="center"/>
    </xf>
    <xf numFmtId="312" fontId="80" fillId="0" borderId="22">
      <alignment horizontal="right" vertical="center"/>
    </xf>
    <xf numFmtId="231" fontId="164" fillId="0" borderId="22">
      <alignment horizontal="right" vertical="center"/>
    </xf>
    <xf numFmtId="231" fontId="164" fillId="0" borderId="22">
      <alignment horizontal="right" vertical="center"/>
    </xf>
    <xf numFmtId="241" fontId="199" fillId="0" borderId="22">
      <alignment horizontal="right" vertical="center"/>
    </xf>
    <xf numFmtId="256" fontId="80" fillId="0" borderId="22">
      <alignment horizontal="right" vertical="center"/>
    </xf>
    <xf numFmtId="256" fontId="80" fillId="0" borderId="22">
      <alignment horizontal="right" vertical="center"/>
    </xf>
    <xf numFmtId="273" fontId="11"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56" fontId="80" fillId="0" borderId="22">
      <alignment horizontal="right" vertical="center"/>
    </xf>
    <xf numFmtId="273" fontId="11" fillId="0" borderId="22">
      <alignment horizontal="right" vertical="center"/>
    </xf>
    <xf numFmtId="231" fontId="164" fillId="0" borderId="22">
      <alignment horizontal="right" vertical="center"/>
    </xf>
    <xf numFmtId="242" fontId="64" fillId="0" borderId="22">
      <alignment horizontal="right" vertical="center"/>
    </xf>
    <xf numFmtId="242" fontId="64" fillId="0" borderId="22">
      <alignment horizontal="right" vertical="center"/>
    </xf>
    <xf numFmtId="243" fontId="64" fillId="0" borderId="22">
      <alignment horizontal="right" vertical="center"/>
    </xf>
    <xf numFmtId="243" fontId="64" fillId="0" borderId="22">
      <alignment horizontal="right" vertical="center"/>
    </xf>
    <xf numFmtId="243" fontId="64" fillId="0" borderId="22">
      <alignment horizontal="right" vertical="center"/>
    </xf>
    <xf numFmtId="243" fontId="64" fillId="0" borderId="22">
      <alignment horizontal="right" vertical="center"/>
    </xf>
    <xf numFmtId="243" fontId="64" fillId="0" borderId="22">
      <alignment horizontal="right" vertical="center"/>
    </xf>
    <xf numFmtId="243" fontId="64" fillId="0" borderId="22">
      <alignment horizontal="right" vertical="center"/>
    </xf>
    <xf numFmtId="328" fontId="164" fillId="0" borderId="22">
      <alignment horizontal="right" vertical="center"/>
    </xf>
    <xf numFmtId="315" fontId="337" fillId="13" borderId="56" applyFont="0" applyFill="0" applyBorder="0"/>
    <xf numFmtId="273" fontId="11" fillId="0" borderId="22">
      <alignment horizontal="right" vertical="center"/>
    </xf>
    <xf numFmtId="273" fontId="11" fillId="0" borderId="22">
      <alignment horizontal="right" vertical="center"/>
    </xf>
    <xf numFmtId="231" fontId="164" fillId="0" borderId="22">
      <alignment horizontal="right" vertical="center"/>
    </xf>
    <xf numFmtId="231" fontId="164" fillId="0" borderId="22">
      <alignment horizontal="right" vertical="center"/>
    </xf>
    <xf numFmtId="241" fontId="199" fillId="0" borderId="22">
      <alignment horizontal="right" vertical="center"/>
    </xf>
    <xf numFmtId="222" fontId="243" fillId="0" borderId="22">
      <alignment horizontal="right" vertical="center"/>
    </xf>
    <xf numFmtId="222" fontId="243" fillId="0" borderId="22">
      <alignment horizontal="right" vertical="center"/>
    </xf>
    <xf numFmtId="326" fontId="164" fillId="0" borderId="22">
      <alignment horizontal="right" vertical="center"/>
    </xf>
    <xf numFmtId="326" fontId="164" fillId="0" borderId="22">
      <alignment horizontal="right" vertical="center"/>
    </xf>
    <xf numFmtId="326" fontId="164" fillId="0" borderId="22">
      <alignment horizontal="right" vertical="center"/>
    </xf>
    <xf numFmtId="326" fontId="164" fillId="0" borderId="22">
      <alignment horizontal="right" vertical="center"/>
    </xf>
    <xf numFmtId="326" fontId="164" fillId="0" borderId="22">
      <alignment horizontal="right" vertical="center"/>
    </xf>
    <xf numFmtId="326" fontId="164" fillId="0" borderId="22">
      <alignment horizontal="right" vertical="center"/>
    </xf>
    <xf numFmtId="326" fontId="164" fillId="0" borderId="22">
      <alignment horizontal="right" vertical="center"/>
    </xf>
    <xf numFmtId="326" fontId="164" fillId="0" borderId="22">
      <alignment horizontal="right" vertical="center"/>
    </xf>
    <xf numFmtId="326" fontId="164" fillId="0" borderId="22">
      <alignment horizontal="right" vertical="center"/>
    </xf>
    <xf numFmtId="327" fontId="164" fillId="0" borderId="22">
      <alignment horizontal="right" vertical="center"/>
    </xf>
    <xf numFmtId="327" fontId="164" fillId="0" borderId="22">
      <alignment horizontal="right" vertical="center"/>
    </xf>
    <xf numFmtId="327" fontId="164" fillId="0" borderId="22">
      <alignment horizontal="right" vertical="center"/>
    </xf>
    <xf numFmtId="327" fontId="164" fillId="0" borderId="22">
      <alignment horizontal="right" vertical="center"/>
    </xf>
    <xf numFmtId="327" fontId="164" fillId="0" borderId="22">
      <alignment horizontal="right" vertical="center"/>
    </xf>
    <xf numFmtId="327" fontId="164" fillId="0" borderId="22">
      <alignment horizontal="right" vertical="center"/>
    </xf>
    <xf numFmtId="327" fontId="164" fillId="0" borderId="22">
      <alignment horizontal="right" vertical="center"/>
    </xf>
    <xf numFmtId="327" fontId="164" fillId="0" borderId="22">
      <alignment horizontal="right" vertical="center"/>
    </xf>
    <xf numFmtId="327" fontId="164" fillId="0" borderId="22">
      <alignment horizontal="right" vertical="center"/>
    </xf>
    <xf numFmtId="241" fontId="199" fillId="0" borderId="22">
      <alignment horizontal="right" vertical="center"/>
    </xf>
    <xf numFmtId="231" fontId="164" fillId="0" borderId="22">
      <alignment horizontal="right" vertical="center"/>
    </xf>
    <xf numFmtId="231" fontId="164" fillId="0" borderId="22">
      <alignment horizontal="right" vertical="center"/>
    </xf>
    <xf numFmtId="328" fontId="164" fillId="0" borderId="22">
      <alignment horizontal="right" vertical="center"/>
    </xf>
    <xf numFmtId="328" fontId="164" fillId="0" borderId="22">
      <alignment horizontal="right" vertical="center"/>
    </xf>
    <xf numFmtId="328" fontId="164" fillId="0" borderId="22">
      <alignment horizontal="right" vertical="center"/>
    </xf>
    <xf numFmtId="328" fontId="164" fillId="0" borderId="22">
      <alignment horizontal="right" vertical="center"/>
    </xf>
    <xf numFmtId="328" fontId="164" fillId="0" borderId="22">
      <alignment horizontal="right" vertical="center"/>
    </xf>
    <xf numFmtId="328" fontId="164" fillId="0" borderId="22">
      <alignment horizontal="right" vertical="center"/>
    </xf>
    <xf numFmtId="328" fontId="164" fillId="0" borderId="22">
      <alignment horizontal="right" vertical="center"/>
    </xf>
    <xf numFmtId="328" fontId="164" fillId="0" borderId="22">
      <alignment horizontal="right" vertical="center"/>
    </xf>
    <xf numFmtId="328" fontId="164" fillId="0" borderId="22">
      <alignment horizontal="right" vertical="center"/>
    </xf>
    <xf numFmtId="202" fontId="11" fillId="0" borderId="22">
      <alignment horizontal="right" vertical="center"/>
    </xf>
    <xf numFmtId="202" fontId="11" fillId="0" borderId="22">
      <alignment horizontal="right" vertical="center"/>
    </xf>
    <xf numFmtId="231" fontId="164" fillId="0" borderId="22">
      <alignment horizontal="right" vertical="center"/>
    </xf>
    <xf numFmtId="328" fontId="164" fillId="0" borderId="22">
      <alignment horizontal="right" vertical="center"/>
    </xf>
    <xf numFmtId="328" fontId="164" fillId="0" borderId="22">
      <alignment horizontal="right" vertical="center"/>
    </xf>
    <xf numFmtId="328" fontId="164" fillId="0" borderId="22">
      <alignment horizontal="right" vertical="center"/>
    </xf>
    <xf numFmtId="328" fontId="164" fillId="0" borderId="22">
      <alignment horizontal="right" vertical="center"/>
    </xf>
    <xf numFmtId="328" fontId="164" fillId="0" borderId="22">
      <alignment horizontal="right" vertical="center"/>
    </xf>
    <xf numFmtId="328" fontId="164" fillId="0" borderId="22">
      <alignment horizontal="right" vertical="center"/>
    </xf>
    <xf numFmtId="328" fontId="164" fillId="0" borderId="22">
      <alignment horizontal="right" vertical="center"/>
    </xf>
    <xf numFmtId="328" fontId="164" fillId="0" borderId="22">
      <alignment horizontal="right" vertical="center"/>
    </xf>
    <xf numFmtId="315" fontId="337" fillId="13" borderId="56" applyFont="0" applyFill="0" applyBorder="0"/>
    <xf numFmtId="328" fontId="164" fillId="0" borderId="22">
      <alignment horizontal="right" vertical="center"/>
    </xf>
    <xf numFmtId="328" fontId="164" fillId="0" borderId="22">
      <alignment horizontal="right" vertical="center"/>
    </xf>
    <xf numFmtId="328" fontId="164" fillId="0" borderId="22">
      <alignment horizontal="right" vertical="center"/>
    </xf>
    <xf numFmtId="328" fontId="164" fillId="0" borderId="22">
      <alignment horizontal="right" vertical="center"/>
    </xf>
    <xf numFmtId="328" fontId="164" fillId="0" borderId="22">
      <alignment horizontal="right" vertical="center"/>
    </xf>
    <xf numFmtId="328" fontId="164" fillId="0" borderId="22">
      <alignment horizontal="right" vertical="center"/>
    </xf>
    <xf numFmtId="328" fontId="164" fillId="0" borderId="22">
      <alignment horizontal="right" vertical="center"/>
    </xf>
    <xf numFmtId="328" fontId="164" fillId="0" borderId="22">
      <alignment horizontal="right" vertical="center"/>
    </xf>
    <xf numFmtId="222" fontId="243" fillId="0" borderId="22">
      <alignment horizontal="right" vertical="center"/>
    </xf>
    <xf numFmtId="231" fontId="164" fillId="0" borderId="22">
      <alignment horizontal="right" vertical="center"/>
    </xf>
    <xf numFmtId="316" fontId="338" fillId="0" borderId="22">
      <alignment horizontal="right" vertical="center"/>
    </xf>
    <xf numFmtId="316" fontId="338" fillId="0" borderId="22">
      <alignment horizontal="right" vertical="center"/>
    </xf>
    <xf numFmtId="231" fontId="164" fillId="0" borderId="22">
      <alignment horizontal="right" vertical="center"/>
    </xf>
    <xf numFmtId="231" fontId="164" fillId="0" borderId="22">
      <alignment horizontal="right" vertical="center"/>
    </xf>
    <xf numFmtId="241" fontId="199" fillId="0" borderId="22">
      <alignment horizontal="right" vertical="center"/>
    </xf>
    <xf numFmtId="241" fontId="199" fillId="0" borderId="22">
      <alignment horizontal="right" vertical="center"/>
    </xf>
    <xf numFmtId="231" fontId="164" fillId="0" borderId="22">
      <alignment horizontal="right" vertical="center"/>
    </xf>
    <xf numFmtId="231" fontId="164" fillId="0" borderId="22">
      <alignment horizontal="right" vertical="center"/>
    </xf>
    <xf numFmtId="204" fontId="165" fillId="0" borderId="0" applyNumberFormat="0"/>
    <xf numFmtId="228" fontId="224" fillId="0" borderId="31">
      <protection hidden="1"/>
    </xf>
    <xf numFmtId="49" fontId="167" fillId="0" borderId="0" applyFill="0" applyBorder="0" applyAlignment="0"/>
    <xf numFmtId="220" fontId="64" fillId="0" borderId="0" applyFill="0" applyBorder="0" applyAlignment="0"/>
    <xf numFmtId="244" fontId="64" fillId="0" borderId="0" applyFill="0" applyBorder="0" applyAlignment="0"/>
    <xf numFmtId="220" fontId="199" fillId="0" borderId="21">
      <alignment horizontal="left"/>
    </xf>
    <xf numFmtId="287" fontId="164" fillId="0" borderId="22">
      <alignment horizontal="center"/>
    </xf>
    <xf numFmtId="287" fontId="164" fillId="0" borderId="22">
      <alignment horizontal="center"/>
    </xf>
    <xf numFmtId="287" fontId="164" fillId="0" borderId="22">
      <alignment horizontal="center"/>
    </xf>
    <xf numFmtId="274" fontId="11" fillId="0" borderId="22">
      <alignment horizontal="center"/>
    </xf>
    <xf numFmtId="332" fontId="164" fillId="0" borderId="22">
      <alignment horizontal="center"/>
    </xf>
    <xf numFmtId="332" fontId="164" fillId="0" borderId="22">
      <alignment horizontal="center"/>
    </xf>
    <xf numFmtId="332" fontId="164" fillId="0" borderId="22">
      <alignment horizontal="center"/>
    </xf>
    <xf numFmtId="278" fontId="80" fillId="0" borderId="22">
      <alignment horizontal="center"/>
    </xf>
    <xf numFmtId="278" fontId="80" fillId="0" borderId="22">
      <alignment horizontal="center"/>
    </xf>
    <xf numFmtId="274" fontId="11" fillId="0" borderId="22">
      <alignment horizontal="center"/>
    </xf>
    <xf numFmtId="317" fontId="340" fillId="0" borderId="0" applyNumberFormat="0" applyFont="0" applyFill="0" applyBorder="0" applyAlignment="0">
      <alignment horizontal="centerContinuous"/>
    </xf>
    <xf numFmtId="0" fontId="244" fillId="0" borderId="57"/>
    <xf numFmtId="0" fontId="164" fillId="0" borderId="0" applyNumberFormat="0" applyFill="0" applyBorder="0" applyAlignment="0" applyProtection="0"/>
    <xf numFmtId="0" fontId="164" fillId="0" borderId="0" applyNumberFormat="0" applyFill="0" applyBorder="0" applyAlignment="0" applyProtection="0"/>
    <xf numFmtId="0" fontId="1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234" fillId="0" borderId="0" applyNumberFormat="0" applyFill="0" applyBorder="0" applyAlignment="0" applyProtection="0"/>
    <xf numFmtId="0" fontId="245" fillId="0" borderId="5" applyNumberFormat="0" applyBorder="0" applyAlignment="0"/>
    <xf numFmtId="0" fontId="246" fillId="0" borderId="4" applyNumberFormat="0" applyBorder="0" applyAlignment="0">
      <alignment horizontal="center"/>
    </xf>
    <xf numFmtId="3" fontId="341" fillId="0" borderId="7" applyNumberFormat="0" applyBorder="0" applyAlignment="0"/>
    <xf numFmtId="49" fontId="254" fillId="0" borderId="0">
      <alignment horizontal="justify" vertical="center" wrapText="1"/>
    </xf>
    <xf numFmtId="0" fontId="304" fillId="0" borderId="5">
      <alignment horizontal="center" vertical="center" wrapText="1"/>
    </xf>
    <xf numFmtId="0" fontId="289" fillId="0" borderId="0" applyNumberFormat="0" applyFill="0" applyBorder="0" applyAlignment="0" applyProtection="0"/>
    <xf numFmtId="0" fontId="339" fillId="0" borderId="0">
      <alignment horizontal="center"/>
    </xf>
    <xf numFmtId="40" fontId="54" fillId="0" borderId="0"/>
    <xf numFmtId="0" fontId="278" fillId="26" borderId="35" applyNumberFormat="0" applyAlignment="0" applyProtection="0"/>
    <xf numFmtId="0" fontId="251" fillId="0" borderId="5"/>
    <xf numFmtId="3" fontId="247" fillId="0" borderId="0" applyNumberFormat="0" applyFill="0" applyBorder="0" applyAlignment="0" applyProtection="0">
      <alignment horizontal="center" wrapText="1"/>
    </xf>
    <xf numFmtId="0" fontId="248" fillId="0" borderId="25" applyBorder="0" applyAlignment="0">
      <alignment horizontal="center" vertical="center"/>
    </xf>
    <xf numFmtId="0" fontId="249" fillId="0" borderId="0" applyNumberFormat="0" applyFill="0" applyBorder="0" applyAlignment="0" applyProtection="0">
      <alignment horizontal="centerContinuous"/>
    </xf>
    <xf numFmtId="0" fontId="228" fillId="0" borderId="58" applyNumberFormat="0" applyFill="0" applyBorder="0" applyAlignment="0" applyProtection="0">
      <alignment horizontal="center" vertical="center" wrapText="1"/>
    </xf>
    <xf numFmtId="0" fontId="289" fillId="0" borderId="0" applyNumberFormat="0" applyFill="0" applyBorder="0" applyAlignment="0" applyProtection="0"/>
    <xf numFmtId="0" fontId="289" fillId="0" borderId="0" applyNumberFormat="0" applyFill="0" applyBorder="0" applyAlignment="0" applyProtection="0"/>
    <xf numFmtId="0" fontId="350" fillId="0" borderId="0" applyNumberFormat="0" applyFill="0" applyBorder="0" applyAlignment="0" applyProtection="0"/>
    <xf numFmtId="0" fontId="289" fillId="0" borderId="0" applyNumberFormat="0" applyFill="0" applyBorder="0" applyAlignment="0" applyProtection="0"/>
    <xf numFmtId="0" fontId="290" fillId="0" borderId="59" applyNumberFormat="0" applyFill="0" applyAlignment="0" applyProtection="0"/>
    <xf numFmtId="3" fontId="305" fillId="0" borderId="9" applyNumberFormat="0" applyAlignment="0">
      <alignment horizontal="center" vertical="center"/>
    </xf>
    <xf numFmtId="3" fontId="306" fillId="0" borderId="5" applyNumberFormat="0" applyAlignment="0">
      <alignment horizontal="left" wrapText="1"/>
    </xf>
    <xf numFmtId="3" fontId="305" fillId="0" borderId="9" applyNumberFormat="0" applyAlignment="0">
      <alignment horizontal="center" vertical="center"/>
    </xf>
    <xf numFmtId="0" fontId="250" fillId="0" borderId="60" applyNumberFormat="0" applyBorder="0" applyAlignment="0">
      <alignment vertical="center"/>
    </xf>
    <xf numFmtId="0" fontId="290" fillId="0" borderId="59" applyNumberFormat="0" applyFill="0" applyAlignment="0" applyProtection="0"/>
    <xf numFmtId="0" fontId="290" fillId="0" borderId="61" applyNumberFormat="0" applyFill="0" applyAlignment="0" applyProtection="0"/>
    <xf numFmtId="0" fontId="148" fillId="0" borderId="62" applyProtection="0"/>
    <xf numFmtId="0" fontId="290" fillId="0" borderId="59" applyNumberFormat="0" applyFill="0" applyAlignment="0" applyProtection="0"/>
    <xf numFmtId="0" fontId="290" fillId="0" borderId="61" applyNumberFormat="0" applyFill="0" applyAlignment="0" applyProtection="0"/>
    <xf numFmtId="0" fontId="290" fillId="0" borderId="59" applyNumberFormat="0" applyFill="0" applyAlignment="0" applyProtection="0"/>
    <xf numFmtId="0" fontId="64" fillId="0" borderId="34" applyNumberFormat="0" applyFont="0" applyFill="0" applyAlignment="0" applyProtection="0"/>
    <xf numFmtId="0" fontId="274" fillId="0" borderId="63" applyNumberFormat="0" applyAlignment="0">
      <alignment horizontal="center"/>
    </xf>
    <xf numFmtId="0" fontId="251" fillId="0" borderId="64">
      <alignment horizontal="center"/>
    </xf>
    <xf numFmtId="0" fontId="64" fillId="0" borderId="0" applyFont="0" applyFill="0" applyBorder="0" applyAlignment="0" applyProtection="0"/>
    <xf numFmtId="0" fontId="64" fillId="0" borderId="0" applyFont="0" applyFill="0" applyBorder="0" applyAlignment="0" applyProtection="0"/>
    <xf numFmtId="305" fontId="172" fillId="0" borderId="0" applyFont="0" applyFill="0" applyBorder="0" applyAlignment="0" applyProtection="0"/>
    <xf numFmtId="0" fontId="64" fillId="0" borderId="0" applyFont="0" applyFill="0" applyBorder="0" applyAlignment="0" applyProtection="0"/>
    <xf numFmtId="0" fontId="64" fillId="0" borderId="0" applyFont="0" applyFill="0" applyBorder="0" applyAlignment="0" applyProtection="0"/>
    <xf numFmtId="0" fontId="291" fillId="0" borderId="0" applyNumberFormat="0" applyFill="0" applyBorder="0" applyAlignment="0" applyProtection="0"/>
    <xf numFmtId="0" fontId="21" fillId="0" borderId="50">
      <alignment horizontal="center"/>
    </xf>
    <xf numFmtId="201" fontId="199" fillId="0" borderId="0"/>
    <xf numFmtId="244" fontId="164" fillId="0" borderId="0"/>
    <xf numFmtId="244" fontId="164" fillId="0" borderId="0"/>
    <xf numFmtId="244" fontId="164" fillId="0" borderId="0"/>
    <xf numFmtId="318" fontId="11" fillId="0" borderId="0"/>
    <xf numFmtId="330" fontId="164" fillId="0" borderId="0"/>
    <xf numFmtId="330" fontId="164" fillId="0" borderId="0"/>
    <xf numFmtId="330" fontId="164" fillId="0" borderId="0"/>
    <xf numFmtId="279" fontId="80" fillId="0" borderId="0"/>
    <xf numFmtId="279" fontId="80" fillId="0" borderId="0"/>
    <xf numFmtId="330" fontId="164" fillId="0" borderId="0"/>
    <xf numFmtId="221" fontId="199" fillId="0" borderId="21"/>
    <xf numFmtId="319" fontId="80" fillId="0" borderId="21"/>
    <xf numFmtId="319" fontId="80" fillId="0" borderId="21"/>
    <xf numFmtId="319" fontId="80" fillId="0" borderId="21"/>
    <xf numFmtId="320" fontId="11" fillId="0" borderId="21"/>
    <xf numFmtId="333" fontId="164" fillId="0" borderId="21"/>
    <xf numFmtId="333" fontId="164" fillId="0" borderId="21"/>
    <xf numFmtId="333" fontId="164" fillId="0" borderId="21"/>
    <xf numFmtId="280" fontId="80" fillId="0" borderId="21"/>
    <xf numFmtId="280" fontId="80" fillId="0" borderId="21"/>
    <xf numFmtId="320" fontId="11" fillId="0" borderId="21"/>
    <xf numFmtId="0" fontId="194" fillId="0" borderId="0"/>
    <xf numFmtId="0" fontId="194" fillId="0" borderId="0"/>
    <xf numFmtId="0" fontId="194" fillId="0" borderId="0"/>
    <xf numFmtId="3" fontId="164" fillId="0" borderId="0" applyNumberFormat="0" applyBorder="0" applyAlignment="0" applyProtection="0">
      <alignment horizontal="centerContinuous"/>
      <protection locked="0"/>
    </xf>
    <xf numFmtId="3" fontId="252" fillId="0" borderId="0">
      <protection locked="0"/>
    </xf>
    <xf numFmtId="0" fontId="194" fillId="0" borderId="0"/>
    <xf numFmtId="0" fontId="194" fillId="0" borderId="0"/>
    <xf numFmtId="0" fontId="194" fillId="0" borderId="0"/>
    <xf numFmtId="5" fontId="253" fillId="55" borderId="25">
      <alignment vertical="top"/>
    </xf>
    <xf numFmtId="0" fontId="254" fillId="56" borderId="21">
      <alignment horizontal="left" vertical="center"/>
    </xf>
    <xf numFmtId="6" fontId="255" fillId="57" borderId="25"/>
    <xf numFmtId="5" fontId="230" fillId="0" borderId="25">
      <alignment horizontal="left" vertical="top"/>
    </xf>
    <xf numFmtId="0" fontId="256" fillId="58" borderId="0">
      <alignment horizontal="left" vertical="center"/>
    </xf>
    <xf numFmtId="0" fontId="257" fillId="0" borderId="0" applyNumberFormat="0" applyFill="0" applyBorder="0" applyAlignment="0" applyProtection="0"/>
    <xf numFmtId="5" fontId="215" fillId="0" borderId="9">
      <alignment horizontal="left" vertical="top"/>
    </xf>
    <xf numFmtId="0" fontId="258" fillId="0" borderId="9">
      <alignment horizontal="left" vertical="center"/>
    </xf>
    <xf numFmtId="0" fontId="64" fillId="0" borderId="0" applyFont="0" applyFill="0" applyBorder="0" applyAlignment="0" applyProtection="0"/>
    <xf numFmtId="0" fontId="64" fillId="0" borderId="0" applyFont="0" applyFill="0" applyBorder="0" applyAlignment="0" applyProtection="0"/>
    <xf numFmtId="42" fontId="33" fillId="0" borderId="0" applyFont="0" applyFill="0" applyBorder="0" applyAlignment="0" applyProtection="0"/>
    <xf numFmtId="321" fontId="64" fillId="0" borderId="0" applyFont="0" applyFill="0" applyBorder="0" applyAlignment="0" applyProtection="0"/>
    <xf numFmtId="42" fontId="226" fillId="0" borderId="0" applyFont="0" applyFill="0" applyBorder="0" applyAlignment="0" applyProtection="0"/>
    <xf numFmtId="44" fontId="226" fillId="0" borderId="0" applyFon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307" fillId="0" borderId="0" applyNumberFormat="0" applyFont="0" applyFill="0" applyBorder="0" applyProtection="0">
      <alignment horizontal="center" vertical="center" wrapText="1"/>
    </xf>
    <xf numFmtId="0" fontId="64" fillId="0" borderId="0" applyFont="0" applyFill="0" applyBorder="0" applyAlignment="0" applyProtection="0"/>
    <xf numFmtId="0" fontId="64" fillId="0" borderId="0" applyFont="0" applyFill="0" applyBorder="0" applyAlignment="0" applyProtection="0"/>
    <xf numFmtId="0" fontId="259" fillId="0" borderId="65" applyNumberFormat="0" applyFont="0" applyAlignment="0">
      <alignment horizontal="center"/>
    </xf>
    <xf numFmtId="0" fontId="260" fillId="0" borderId="0" applyNumberFormat="0" applyFill="0" applyBorder="0" applyAlignment="0" applyProtection="0"/>
    <xf numFmtId="0" fontId="80" fillId="0" borderId="66" applyFont="0" applyBorder="0" applyAlignment="0">
      <alignment horizontal="center"/>
    </xf>
    <xf numFmtId="195" fontId="11" fillId="0" borderId="0" applyFont="0" applyFill="0" applyBorder="0" applyAlignment="0" applyProtection="0"/>
    <xf numFmtId="42" fontId="342" fillId="0" borderId="0" applyFont="0" applyFill="0" applyBorder="0" applyAlignment="0" applyProtection="0"/>
    <xf numFmtId="44" fontId="342" fillId="0" borderId="0" applyFont="0" applyFill="0" applyBorder="0" applyAlignment="0" applyProtection="0"/>
    <xf numFmtId="0" fontId="342" fillId="0" borderId="0"/>
    <xf numFmtId="0" fontId="202" fillId="0" borderId="0" applyFont="0" applyFill="0" applyBorder="0" applyAlignment="0" applyProtection="0"/>
    <xf numFmtId="0" fontId="202" fillId="0" borderId="0" applyFont="0" applyFill="0" applyBorder="0" applyAlignment="0" applyProtection="0"/>
    <xf numFmtId="0" fontId="7" fillId="0" borderId="0">
      <alignment vertical="center"/>
    </xf>
    <xf numFmtId="40" fontId="161" fillId="0" borderId="0" applyFont="0" applyFill="0" applyBorder="0" applyAlignment="0" applyProtection="0"/>
    <xf numFmtId="38" fontId="161" fillId="0" borderId="0" applyFont="0" applyFill="0" applyBorder="0" applyAlignment="0" applyProtection="0"/>
    <xf numFmtId="0" fontId="161" fillId="0" borderId="0" applyFont="0" applyFill="0" applyBorder="0" applyAlignment="0" applyProtection="0"/>
    <xf numFmtId="0" fontId="161" fillId="0" borderId="0" applyFont="0" applyFill="0" applyBorder="0" applyAlignment="0" applyProtection="0"/>
    <xf numFmtId="9" fontId="308" fillId="0" borderId="0" applyBorder="0" applyAlignment="0" applyProtection="0"/>
    <xf numFmtId="0" fontId="162" fillId="0" borderId="0"/>
    <xf numFmtId="0" fontId="261" fillId="0" borderId="33"/>
    <xf numFmtId="208" fontId="205" fillId="0" borderId="0" applyFont="0" applyFill="0" applyBorder="0" applyAlignment="0" applyProtection="0"/>
    <xf numFmtId="0" fontId="262" fillId="0" borderId="0"/>
    <xf numFmtId="0" fontId="262" fillId="0" borderId="0"/>
    <xf numFmtId="0" fontId="262" fillId="0" borderId="0"/>
    <xf numFmtId="0" fontId="262" fillId="0" borderId="0"/>
    <xf numFmtId="0" fontId="262" fillId="0" borderId="0"/>
    <xf numFmtId="0" fontId="262" fillId="0" borderId="0"/>
    <xf numFmtId="0" fontId="262" fillId="0" borderId="0"/>
    <xf numFmtId="0" fontId="262" fillId="0" borderId="0"/>
    <xf numFmtId="0" fontId="233" fillId="0" borderId="0" applyFont="0" applyFill="0" applyBorder="0" applyAlignment="0" applyProtection="0"/>
    <xf numFmtId="0" fontId="233" fillId="0" borderId="0" applyFont="0" applyFill="0" applyBorder="0" applyAlignment="0" applyProtection="0"/>
    <xf numFmtId="197" fontId="64" fillId="0" borderId="0" applyFont="0" applyFill="0" applyBorder="0" applyAlignment="0" applyProtection="0"/>
    <xf numFmtId="198" fontId="64" fillId="0" borderId="0" applyFont="0" applyFill="0" applyBorder="0" applyAlignment="0" applyProtection="0"/>
    <xf numFmtId="0" fontId="233" fillId="0" borderId="0"/>
    <xf numFmtId="0" fontId="233" fillId="0" borderId="0"/>
    <xf numFmtId="0" fontId="263" fillId="0" borderId="0"/>
    <xf numFmtId="0" fontId="148" fillId="0" borderId="0"/>
    <xf numFmtId="195" fontId="200" fillId="0" borderId="0" applyFont="0" applyFill="0" applyBorder="0" applyAlignment="0" applyProtection="0"/>
    <xf numFmtId="196" fontId="200" fillId="0" borderId="0" applyFont="0" applyFill="0" applyBorder="0" applyAlignment="0" applyProtection="0"/>
    <xf numFmtId="0" fontId="64" fillId="0" borderId="0"/>
    <xf numFmtId="43" fontId="64" fillId="0" borderId="0" applyFont="0" applyFill="0" applyBorder="0" applyAlignment="0" applyProtection="0"/>
    <xf numFmtId="41" fontId="64" fillId="0" borderId="0" applyFont="0" applyFill="0" applyBorder="0" applyAlignment="0" applyProtection="0"/>
    <xf numFmtId="0" fontId="64" fillId="0" borderId="0"/>
    <xf numFmtId="197" fontId="200" fillId="0" borderId="0" applyFont="0" applyFill="0" applyBorder="0" applyAlignment="0" applyProtection="0"/>
    <xf numFmtId="6" fontId="201" fillId="0" borderId="0" applyFont="0" applyFill="0" applyBorder="0" applyAlignment="0" applyProtection="0"/>
    <xf numFmtId="198" fontId="200" fillId="0" borderId="0" applyFont="0" applyFill="0" applyBorder="0" applyAlignment="0" applyProtection="0"/>
    <xf numFmtId="44" fontId="64" fillId="0" borderId="0" applyFont="0" applyFill="0" applyBorder="0" applyAlignment="0" applyProtection="0"/>
    <xf numFmtId="42" fontId="64" fillId="0" borderId="0" applyFont="0" applyFill="0" applyBorder="0" applyAlignment="0" applyProtection="0"/>
    <xf numFmtId="9" fontId="23" fillId="0" borderId="0" applyFont="0" applyFill="0" applyBorder="0" applyAlignment="0" applyProtection="0"/>
    <xf numFmtId="0" fontId="12" fillId="0" borderId="0"/>
  </cellStyleXfs>
  <cellXfs count="2025">
    <xf numFmtId="0" fontId="0" fillId="0" borderId="0" xfId="0"/>
    <xf numFmtId="0" fontId="3" fillId="0" borderId="3" xfId="0" applyFont="1" applyBorder="1" applyAlignment="1">
      <alignment horizontal="center" vertical="center" wrapText="1"/>
    </xf>
    <xf numFmtId="0" fontId="26" fillId="0" borderId="3" xfId="0" applyFont="1" applyBorder="1" applyAlignment="1">
      <alignment horizontal="center" vertical="center" wrapText="1"/>
    </xf>
    <xf numFmtId="0" fontId="25" fillId="0" borderId="3" xfId="0" applyFont="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7" fillId="0" borderId="0" xfId="0" applyFont="1" applyAlignment="1">
      <alignment vertical="center"/>
    </xf>
    <xf numFmtId="0" fontId="3" fillId="2" borderId="3" xfId="0" applyFont="1" applyFill="1" applyBorder="1" applyAlignment="1">
      <alignment horizontal="justify" vertical="center" wrapText="1"/>
    </xf>
    <xf numFmtId="0" fontId="26" fillId="2" borderId="3" xfId="0" applyFont="1" applyFill="1" applyBorder="1" applyAlignment="1">
      <alignment horizontal="justify" vertical="center" wrapText="1"/>
    </xf>
    <xf numFmtId="0" fontId="25" fillId="2" borderId="3" xfId="0" applyFont="1" applyFill="1" applyBorder="1" applyAlignment="1">
      <alignment horizontal="justify" vertical="center" wrapText="1"/>
    </xf>
    <xf numFmtId="0" fontId="8" fillId="0" borderId="3" xfId="10" applyFont="1" applyBorder="1" applyAlignment="1">
      <alignment horizontal="justify" vertical="center" wrapText="1"/>
    </xf>
    <xf numFmtId="0" fontId="25" fillId="0" borderId="3" xfId="0" applyFont="1" applyBorder="1" applyAlignment="1">
      <alignment horizontal="justify" vertical="center" wrapText="1"/>
    </xf>
    <xf numFmtId="0" fontId="26" fillId="0" borderId="3" xfId="0" applyFont="1" applyBorder="1" applyAlignment="1">
      <alignment horizontal="justify" vertical="center" wrapText="1"/>
    </xf>
    <xf numFmtId="0" fontId="9" fillId="0" borderId="3" xfId="0" applyFont="1" applyBorder="1" applyAlignment="1">
      <alignment horizontal="justify" vertical="center" wrapText="1"/>
    </xf>
    <xf numFmtId="0" fontId="27" fillId="0" borderId="3" xfId="0" applyFont="1" applyBorder="1" applyAlignment="1">
      <alignment horizontal="justify" vertical="center" wrapText="1"/>
    </xf>
    <xf numFmtId="0" fontId="25" fillId="0" borderId="3" xfId="0" quotePrefix="1" applyFont="1" applyBorder="1" applyAlignment="1">
      <alignment horizontal="justify" vertical="center" wrapText="1"/>
    </xf>
    <xf numFmtId="0" fontId="7" fillId="0" borderId="0" xfId="0" applyFont="1" applyAlignment="1">
      <alignment horizontal="justify" vertical="center"/>
    </xf>
    <xf numFmtId="0" fontId="0" fillId="0" borderId="0" xfId="0" applyAlignment="1">
      <alignment horizontal="justify" vertical="center"/>
    </xf>
    <xf numFmtId="0" fontId="3" fillId="0" borderId="3" xfId="10" applyFont="1" applyBorder="1" applyAlignment="1">
      <alignment horizontal="justify" vertical="center" wrapText="1"/>
    </xf>
    <xf numFmtId="0" fontId="25" fillId="2" borderId="3" xfId="0" applyFont="1" applyFill="1" applyBorder="1" applyAlignment="1">
      <alignment horizontal="center" vertical="center" wrapText="1"/>
    </xf>
    <xf numFmtId="0" fontId="25" fillId="0" borderId="3" xfId="0" quotePrefix="1" applyFont="1" applyBorder="1" applyAlignment="1">
      <alignment horizontal="center" vertical="center" wrapText="1"/>
    </xf>
    <xf numFmtId="0" fontId="28" fillId="0" borderId="0" xfId="0" applyFont="1"/>
    <xf numFmtId="0" fontId="32" fillId="0" borderId="0" xfId="0" applyFont="1"/>
    <xf numFmtId="0" fontId="32" fillId="0" borderId="5" xfId="0" applyFont="1" applyBorder="1"/>
    <xf numFmtId="0" fontId="39" fillId="0" borderId="0" xfId="0" applyFont="1"/>
    <xf numFmtId="0" fontId="50" fillId="0" borderId="0" xfId="0" applyFont="1"/>
    <xf numFmtId="43" fontId="50" fillId="4" borderId="0" xfId="2" applyFont="1" applyFill="1"/>
    <xf numFmtId="0" fontId="47" fillId="4" borderId="0" xfId="0" applyFont="1" applyFill="1"/>
    <xf numFmtId="0" fontId="45" fillId="4" borderId="0" xfId="0" applyFont="1" applyFill="1"/>
    <xf numFmtId="43" fontId="45" fillId="4" borderId="0" xfId="2" applyFont="1" applyFill="1"/>
    <xf numFmtId="173" fontId="45" fillId="4" borderId="0" xfId="2" applyNumberFormat="1" applyFont="1" applyFill="1"/>
    <xf numFmtId="0" fontId="43" fillId="4" borderId="0" xfId="0" applyFont="1" applyFill="1"/>
    <xf numFmtId="0" fontId="53" fillId="4" borderId="5" xfId="0" applyFont="1" applyFill="1" applyBorder="1" applyAlignment="1">
      <alignment horizontal="justify" wrapText="1"/>
    </xf>
    <xf numFmtId="0" fontId="50" fillId="4" borderId="0" xfId="0" applyFont="1" applyFill="1"/>
    <xf numFmtId="0" fontId="3" fillId="4" borderId="0" xfId="0" applyFont="1" applyFill="1"/>
    <xf numFmtId="0" fontId="22" fillId="4" borderId="3" xfId="0" applyFont="1" applyFill="1" applyBorder="1" applyAlignment="1">
      <alignment vertical="center" wrapText="1"/>
    </xf>
    <xf numFmtId="174" fontId="50" fillId="4" borderId="0" xfId="2" applyNumberFormat="1" applyFont="1" applyFill="1"/>
    <xf numFmtId="0" fontId="53" fillId="4" borderId="0" xfId="0" applyFont="1" applyFill="1"/>
    <xf numFmtId="0" fontId="22" fillId="4" borderId="5" xfId="0" applyFont="1" applyFill="1" applyBorder="1" applyAlignment="1">
      <alignment horizontal="center" vertical="center" wrapText="1"/>
    </xf>
    <xf numFmtId="0" fontId="54" fillId="4" borderId="0" xfId="0" applyFont="1" applyFill="1"/>
    <xf numFmtId="174" fontId="53" fillId="4" borderId="0" xfId="2" applyNumberFormat="1" applyFont="1" applyFill="1"/>
    <xf numFmtId="0" fontId="22" fillId="4" borderId="0" xfId="0" applyFont="1" applyFill="1"/>
    <xf numFmtId="0" fontId="22" fillId="4" borderId="5" xfId="0" applyFont="1" applyFill="1" applyBorder="1" applyAlignment="1">
      <alignment horizontal="center" wrapText="1"/>
    </xf>
    <xf numFmtId="0" fontId="53" fillId="4" borderId="5" xfId="0" applyFont="1" applyFill="1" applyBorder="1" applyAlignment="1">
      <alignment horizontal="center" wrapText="1"/>
    </xf>
    <xf numFmtId="0" fontId="50" fillId="0" borderId="0" xfId="0" applyFont="1" applyAlignment="1">
      <alignment horizontal="center" vertical="center" wrapText="1"/>
    </xf>
    <xf numFmtId="43" fontId="53" fillId="4" borderId="5" xfId="2" applyFont="1" applyFill="1" applyBorder="1" applyAlignment="1">
      <alignment horizontal="center" vertical="center" wrapText="1"/>
    </xf>
    <xf numFmtId="0" fontId="18" fillId="4" borderId="0" xfId="0" applyFont="1" applyFill="1"/>
    <xf numFmtId="0" fontId="32" fillId="0" borderId="3" xfId="0" applyFont="1" applyBorder="1" applyAlignment="1">
      <alignment horizontal="center" vertical="center" wrapText="1"/>
    </xf>
    <xf numFmtId="43" fontId="38" fillId="4" borderId="5" xfId="2" applyFont="1" applyFill="1" applyBorder="1" applyAlignment="1">
      <alignment horizontal="center" vertical="center" wrapText="1"/>
    </xf>
    <xf numFmtId="174" fontId="38" fillId="4" borderId="5" xfId="2" applyNumberFormat="1" applyFont="1" applyFill="1" applyBorder="1" applyAlignment="1">
      <alignment horizontal="center" vertical="center" wrapText="1"/>
    </xf>
    <xf numFmtId="174" fontId="50" fillId="4" borderId="0" xfId="0" applyNumberFormat="1" applyFont="1" applyFill="1"/>
    <xf numFmtId="174" fontId="51" fillId="4" borderId="0" xfId="2" applyNumberFormat="1" applyFont="1" applyFill="1"/>
    <xf numFmtId="0" fontId="51" fillId="4" borderId="0" xfId="0" applyFont="1" applyFill="1"/>
    <xf numFmtId="167" fontId="50" fillId="4" borderId="0" xfId="2" applyNumberFormat="1" applyFont="1" applyFill="1"/>
    <xf numFmtId="174" fontId="53" fillId="4" borderId="5" xfId="2" applyNumberFormat="1"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6" xfId="0" applyFont="1" applyFill="1" applyBorder="1" applyAlignment="1">
      <alignment vertical="center" wrapText="1"/>
    </xf>
    <xf numFmtId="174" fontId="45" fillId="4" borderId="0" xfId="2" applyNumberFormat="1" applyFont="1" applyFill="1"/>
    <xf numFmtId="167" fontId="3" fillId="4" borderId="3" xfId="2" applyNumberFormat="1" applyFont="1" applyFill="1" applyBorder="1" applyAlignment="1">
      <alignment horizontal="right" wrapText="1"/>
    </xf>
    <xf numFmtId="0" fontId="7" fillId="4" borderId="0" xfId="0" applyFont="1" applyFill="1"/>
    <xf numFmtId="167" fontId="3" fillId="4" borderId="3" xfId="2" applyNumberFormat="1" applyFont="1" applyFill="1" applyBorder="1" applyAlignment="1">
      <alignment horizontal="justify" wrapText="1"/>
    </xf>
    <xf numFmtId="43" fontId="55" fillId="4" borderId="3" xfId="2" applyFont="1" applyFill="1" applyBorder="1" applyAlignment="1">
      <alignment horizontal="center" vertical="center" wrapText="1"/>
    </xf>
    <xf numFmtId="173" fontId="50" fillId="4" borderId="0" xfId="2" applyNumberFormat="1" applyFont="1" applyFill="1"/>
    <xf numFmtId="0" fontId="4" fillId="4" borderId="0" xfId="0" applyFont="1" applyFill="1" applyAlignment="1">
      <alignment horizontal="right"/>
    </xf>
    <xf numFmtId="174" fontId="54" fillId="4" borderId="3" xfId="0" applyNumberFormat="1" applyFont="1" applyFill="1" applyBorder="1" applyAlignment="1">
      <alignment horizontal="center" vertical="center" wrapText="1"/>
    </xf>
    <xf numFmtId="173" fontId="53" fillId="4" borderId="0" xfId="2" applyNumberFormat="1" applyFont="1" applyFill="1"/>
    <xf numFmtId="0" fontId="22" fillId="4" borderId="3" xfId="0" applyFont="1" applyFill="1" applyBorder="1" applyAlignment="1">
      <alignment horizontal="justify" vertical="center" wrapText="1"/>
    </xf>
    <xf numFmtId="167" fontId="53" fillId="4" borderId="0" xfId="2" applyNumberFormat="1" applyFont="1" applyFill="1"/>
    <xf numFmtId="167" fontId="22" fillId="4" borderId="0" xfId="2" applyNumberFormat="1" applyFont="1" applyFill="1"/>
    <xf numFmtId="167" fontId="22" fillId="4" borderId="0" xfId="0" applyNumberFormat="1" applyFont="1" applyFill="1"/>
    <xf numFmtId="0" fontId="54" fillId="4" borderId="4" xfId="0" applyFont="1" applyFill="1" applyBorder="1" applyAlignment="1">
      <alignment horizontal="center" vertical="center" wrapText="1"/>
    </xf>
    <xf numFmtId="0" fontId="54" fillId="4" borderId="4" xfId="0" applyFont="1" applyFill="1" applyBorder="1" applyAlignment="1">
      <alignment vertical="center" wrapText="1"/>
    </xf>
    <xf numFmtId="167" fontId="54" fillId="4" borderId="0" xfId="2" applyNumberFormat="1" applyFont="1" applyFill="1"/>
    <xf numFmtId="0" fontId="50" fillId="4" borderId="5" xfId="0" applyFont="1" applyFill="1" applyBorder="1" applyAlignment="1">
      <alignment horizontal="center" vertical="center" wrapText="1"/>
    </xf>
    <xf numFmtId="0" fontId="50" fillId="4" borderId="5" xfId="0" applyFont="1" applyFill="1" applyBorder="1" applyAlignment="1">
      <alignment vertical="center" wrapText="1"/>
    </xf>
    <xf numFmtId="0" fontId="54" fillId="4" borderId="5" xfId="0" applyFont="1" applyFill="1" applyBorder="1" applyAlignment="1">
      <alignment vertical="center" wrapText="1"/>
    </xf>
    <xf numFmtId="181" fontId="45" fillId="4" borderId="0" xfId="0" applyNumberFormat="1" applyFont="1" applyFill="1"/>
    <xf numFmtId="174" fontId="19" fillId="4" borderId="0" xfId="2" applyNumberFormat="1" applyFont="1" applyFill="1"/>
    <xf numFmtId="0" fontId="3" fillId="4" borderId="5" xfId="0" applyFont="1" applyFill="1" applyBorder="1" applyAlignment="1">
      <alignment horizontal="justify" wrapText="1"/>
    </xf>
    <xf numFmtId="0" fontId="7" fillId="4" borderId="5" xfId="0" applyFont="1" applyFill="1" applyBorder="1" applyAlignment="1">
      <alignment horizontal="justify" wrapText="1"/>
    </xf>
    <xf numFmtId="171" fontId="45" fillId="4" borderId="0" xfId="0" applyNumberFormat="1" applyFont="1" applyFill="1"/>
    <xf numFmtId="0" fontId="58" fillId="4" borderId="0" xfId="0" applyFont="1" applyFill="1"/>
    <xf numFmtId="0" fontId="59" fillId="4" borderId="0" xfId="0" applyFont="1" applyFill="1"/>
    <xf numFmtId="0" fontId="47" fillId="4" borderId="3" xfId="0" applyFont="1" applyFill="1" applyBorder="1" applyAlignment="1">
      <alignment horizontal="center" vertical="center" wrapText="1"/>
    </xf>
    <xf numFmtId="0" fontId="48" fillId="4" borderId="0" xfId="0" applyFont="1" applyFill="1" applyAlignment="1">
      <alignment horizontal="right" vertical="center"/>
    </xf>
    <xf numFmtId="174" fontId="58" fillId="4" borderId="0" xfId="2" applyNumberFormat="1" applyFont="1" applyFill="1"/>
    <xf numFmtId="0" fontId="45" fillId="0" borderId="0" xfId="0" applyFont="1"/>
    <xf numFmtId="0" fontId="48" fillId="0" borderId="0" xfId="0" applyFont="1" applyAlignment="1">
      <alignment horizontal="right" vertical="center"/>
    </xf>
    <xf numFmtId="0" fontId="47" fillId="0" borderId="3" xfId="0" applyFont="1" applyBorder="1" applyAlignment="1">
      <alignment horizontal="center" vertical="center" wrapText="1"/>
    </xf>
    <xf numFmtId="43" fontId="58" fillId="4" borderId="7" xfId="2" applyFont="1" applyFill="1" applyBorder="1" applyAlignment="1">
      <alignment horizontal="center" vertical="center" wrapText="1"/>
    </xf>
    <xf numFmtId="0" fontId="47" fillId="4" borderId="0" xfId="0" applyFont="1" applyFill="1" applyAlignment="1">
      <alignment horizontal="right" vertical="center"/>
    </xf>
    <xf numFmtId="167" fontId="59" fillId="4" borderId="3" xfId="2" applyNumberFormat="1" applyFont="1" applyFill="1" applyBorder="1" applyAlignment="1">
      <alignment horizontal="center" vertical="center" wrapText="1"/>
    </xf>
    <xf numFmtId="0" fontId="59" fillId="4" borderId="3" xfId="0" applyFont="1" applyFill="1" applyBorder="1" applyAlignment="1">
      <alignment vertical="center" wrapText="1"/>
    </xf>
    <xf numFmtId="173" fontId="61" fillId="4" borderId="3" xfId="2" applyNumberFormat="1" applyFont="1" applyFill="1" applyBorder="1" applyAlignment="1">
      <alignment horizontal="center" vertical="center" wrapText="1"/>
    </xf>
    <xf numFmtId="0" fontId="45" fillId="4" borderId="5" xfId="0" applyFont="1" applyFill="1" applyBorder="1" applyAlignment="1">
      <alignment horizontal="center" vertical="center" wrapText="1"/>
    </xf>
    <xf numFmtId="173" fontId="58" fillId="4" borderId="5" xfId="2" applyNumberFormat="1" applyFont="1" applyFill="1" applyBorder="1" applyAlignment="1">
      <alignment horizontal="center" vertical="center" wrapText="1"/>
    </xf>
    <xf numFmtId="174" fontId="58" fillId="4" borderId="0" xfId="2" applyNumberFormat="1" applyFont="1" applyFill="1" applyAlignment="1"/>
    <xf numFmtId="174" fontId="45" fillId="4" borderId="0" xfId="0" applyNumberFormat="1" applyFont="1" applyFill="1"/>
    <xf numFmtId="182" fontId="45" fillId="4" borderId="0" xfId="0" applyNumberFormat="1" applyFont="1" applyFill="1"/>
    <xf numFmtId="0" fontId="62" fillId="4" borderId="0" xfId="0" applyFont="1" applyFill="1"/>
    <xf numFmtId="43" fontId="62" fillId="4" borderId="0" xfId="2" applyFont="1" applyFill="1"/>
    <xf numFmtId="174" fontId="62" fillId="4" borderId="0" xfId="2" applyNumberFormat="1" applyFont="1" applyFill="1"/>
    <xf numFmtId="0" fontId="7" fillId="4" borderId="5" xfId="0" applyFont="1" applyFill="1" applyBorder="1" applyAlignment="1">
      <alignment vertical="center" wrapText="1"/>
    </xf>
    <xf numFmtId="0" fontId="22" fillId="4" borderId="3" xfId="0" applyFont="1" applyFill="1" applyBorder="1" applyAlignment="1">
      <alignment horizontal="center" vertical="center" wrapText="1"/>
    </xf>
    <xf numFmtId="0" fontId="45" fillId="4" borderId="5" xfId="0" applyFont="1" applyFill="1" applyBorder="1" applyAlignment="1">
      <alignment horizontal="justify" vertical="center" wrapText="1"/>
    </xf>
    <xf numFmtId="0" fontId="74" fillId="4" borderId="13" xfId="0" applyFont="1" applyFill="1" applyBorder="1" applyAlignment="1">
      <alignment horizontal="right"/>
    </xf>
    <xf numFmtId="0" fontId="9" fillId="4" borderId="13" xfId="0" applyFont="1" applyFill="1" applyBorder="1" applyAlignment="1">
      <alignment horizontal="center"/>
    </xf>
    <xf numFmtId="174" fontId="50" fillId="4" borderId="6" xfId="2" applyNumberFormat="1" applyFont="1" applyFill="1" applyBorder="1" applyAlignment="1" applyProtection="1">
      <alignment horizontal="right" vertical="center" wrapText="1"/>
      <protection hidden="1"/>
    </xf>
    <xf numFmtId="174" fontId="50" fillId="4" borderId="0" xfId="2" applyNumberFormat="1" applyFont="1" applyFill="1" applyBorder="1" applyAlignment="1" applyProtection="1">
      <alignment horizontal="right" vertical="center" wrapText="1"/>
      <protection hidden="1"/>
    </xf>
    <xf numFmtId="170" fontId="7" fillId="4" borderId="0" xfId="2" applyNumberFormat="1" applyFont="1" applyFill="1"/>
    <xf numFmtId="167" fontId="53" fillId="4" borderId="0" xfId="0" applyNumberFormat="1" applyFont="1" applyFill="1"/>
    <xf numFmtId="170" fontId="22" fillId="4" borderId="0" xfId="2" applyNumberFormat="1" applyFont="1" applyFill="1"/>
    <xf numFmtId="170" fontId="53" fillId="4" borderId="0" xfId="2" applyNumberFormat="1" applyFont="1" applyFill="1"/>
    <xf numFmtId="165" fontId="70" fillId="4" borderId="13" xfId="2" applyNumberFormat="1" applyFont="1" applyFill="1" applyBorder="1" applyAlignment="1">
      <alignment horizontal="right"/>
    </xf>
    <xf numFmtId="165" fontId="70" fillId="4" borderId="0" xfId="2" applyNumberFormat="1" applyFont="1" applyFill="1" applyBorder="1" applyAlignment="1">
      <alignment horizontal="right"/>
    </xf>
    <xf numFmtId="170" fontId="22" fillId="4" borderId="3" xfId="2" applyNumberFormat="1" applyFont="1" applyFill="1" applyBorder="1" applyAlignment="1">
      <alignment horizontal="center" vertical="center" wrapText="1"/>
    </xf>
    <xf numFmtId="0" fontId="3" fillId="4" borderId="8" xfId="0" applyFont="1" applyFill="1" applyBorder="1" applyAlignment="1">
      <alignment horizontal="center" wrapText="1"/>
    </xf>
    <xf numFmtId="0" fontId="22" fillId="4" borderId="16" xfId="0" applyFont="1" applyFill="1" applyBorder="1" applyAlignment="1">
      <alignment horizontal="justify" wrapText="1"/>
    </xf>
    <xf numFmtId="167" fontId="3" fillId="4" borderId="8" xfId="2" applyNumberFormat="1" applyFont="1" applyFill="1" applyBorder="1" applyAlignment="1">
      <alignment horizontal="justify" wrapText="1"/>
    </xf>
    <xf numFmtId="0" fontId="53" fillId="4" borderId="4" xfId="0" applyFont="1" applyFill="1" applyBorder="1" applyAlignment="1">
      <alignment horizontal="center" wrapText="1"/>
    </xf>
    <xf numFmtId="0" fontId="7" fillId="4" borderId="4" xfId="0" applyFont="1" applyFill="1" applyBorder="1" applyAlignment="1">
      <alignment horizontal="justify" wrapText="1"/>
    </xf>
    <xf numFmtId="167" fontId="7" fillId="4" borderId="4" xfId="0" applyNumberFormat="1" applyFont="1" applyFill="1" applyBorder="1" applyAlignment="1">
      <alignment horizontal="justify" wrapText="1"/>
    </xf>
    <xf numFmtId="167" fontId="7" fillId="4" borderId="4" xfId="2" applyNumberFormat="1" applyFont="1" applyFill="1" applyBorder="1" applyAlignment="1">
      <alignment horizontal="justify" wrapText="1"/>
    </xf>
    <xf numFmtId="170" fontId="3" fillId="4" borderId="4" xfId="2" applyNumberFormat="1" applyFont="1" applyFill="1" applyBorder="1" applyAlignment="1"/>
    <xf numFmtId="14" fontId="3" fillId="4" borderId="4" xfId="0" applyNumberFormat="1" applyFont="1" applyFill="1" applyBorder="1"/>
    <xf numFmtId="170" fontId="3" fillId="4" borderId="4" xfId="2" applyNumberFormat="1" applyFont="1" applyFill="1" applyBorder="1"/>
    <xf numFmtId="167" fontId="7" fillId="4" borderId="5" xfId="0" applyNumberFormat="1" applyFont="1" applyFill="1" applyBorder="1" applyAlignment="1">
      <alignment horizontal="justify" wrapText="1"/>
    </xf>
    <xf numFmtId="167" fontId="7" fillId="4" borderId="5" xfId="2" applyNumberFormat="1" applyFont="1" applyFill="1" applyBorder="1" applyAlignment="1" applyProtection="1">
      <alignment horizontal="right" wrapText="1"/>
      <protection hidden="1"/>
    </xf>
    <xf numFmtId="170" fontId="3" fillId="4" borderId="5" xfId="2" applyNumberFormat="1" applyFont="1" applyFill="1" applyBorder="1" applyAlignment="1"/>
    <xf numFmtId="14" fontId="3" fillId="4" borderId="5" xfId="0" applyNumberFormat="1" applyFont="1" applyFill="1" applyBorder="1"/>
    <xf numFmtId="170" fontId="3" fillId="4" borderId="5" xfId="2" applyNumberFormat="1" applyFont="1" applyFill="1" applyBorder="1"/>
    <xf numFmtId="167" fontId="7" fillId="4" borderId="5" xfId="2" applyNumberFormat="1" applyFont="1" applyFill="1" applyBorder="1" applyAlignment="1">
      <alignment horizontal="justify" wrapText="1"/>
    </xf>
    <xf numFmtId="167" fontId="3" fillId="4" borderId="5" xfId="2" applyNumberFormat="1" applyFont="1" applyFill="1" applyBorder="1" applyAlignment="1">
      <alignment horizontal="justify" wrapText="1"/>
    </xf>
    <xf numFmtId="3" fontId="44" fillId="4" borderId="5" xfId="0" applyNumberFormat="1" applyFont="1" applyFill="1" applyBorder="1"/>
    <xf numFmtId="3" fontId="3" fillId="4" borderId="5" xfId="2" applyNumberFormat="1" applyFont="1" applyFill="1" applyBorder="1" applyAlignment="1"/>
    <xf numFmtId="170" fontId="7" fillId="4" borderId="5" xfId="2" applyNumberFormat="1" applyFont="1" applyFill="1" applyBorder="1" applyAlignment="1"/>
    <xf numFmtId="14" fontId="7" fillId="4" borderId="5" xfId="0" applyNumberFormat="1" applyFont="1" applyFill="1" applyBorder="1"/>
    <xf numFmtId="3" fontId="7" fillId="4" borderId="5" xfId="2" applyNumberFormat="1" applyFont="1" applyFill="1" applyBorder="1" applyAlignment="1"/>
    <xf numFmtId="170" fontId="7" fillId="4" borderId="5" xfId="2" applyNumberFormat="1" applyFont="1" applyFill="1" applyBorder="1"/>
    <xf numFmtId="0" fontId="50" fillId="4" borderId="5" xfId="0" applyFont="1" applyFill="1" applyBorder="1" applyAlignment="1">
      <alignment horizontal="justify" wrapText="1"/>
    </xf>
    <xf numFmtId="170" fontId="7" fillId="4" borderId="5" xfId="2" applyNumberFormat="1" applyFont="1" applyFill="1" applyBorder="1" applyAlignment="1">
      <alignment horizontal="justify" wrapText="1"/>
    </xf>
    <xf numFmtId="0" fontId="50" fillId="4" borderId="5" xfId="0" applyFont="1" applyFill="1" applyBorder="1" applyAlignment="1">
      <alignment horizontal="right"/>
    </xf>
    <xf numFmtId="167" fontId="7" fillId="4" borderId="5" xfId="2" applyNumberFormat="1" applyFont="1" applyFill="1" applyBorder="1" applyAlignment="1">
      <alignment horizontal="right"/>
    </xf>
    <xf numFmtId="0" fontId="7" fillId="4" borderId="5" xfId="0" applyFont="1" applyFill="1" applyBorder="1"/>
    <xf numFmtId="0" fontId="50" fillId="4" borderId="5" xfId="0" applyFont="1" applyFill="1" applyBorder="1"/>
    <xf numFmtId="0" fontId="50" fillId="4" borderId="6" xfId="0" applyFont="1" applyFill="1" applyBorder="1" applyAlignment="1">
      <alignment horizontal="right"/>
    </xf>
    <xf numFmtId="0" fontId="7" fillId="4" borderId="6" xfId="0" applyFont="1" applyFill="1" applyBorder="1" applyAlignment="1">
      <alignment horizontal="justify" wrapText="1"/>
    </xf>
    <xf numFmtId="0" fontId="7" fillId="4" borderId="6" xfId="0" applyFont="1" applyFill="1" applyBorder="1"/>
    <xf numFmtId="167" fontId="7" fillId="4" borderId="6" xfId="2" applyNumberFormat="1" applyFont="1" applyFill="1" applyBorder="1" applyAlignment="1">
      <alignment horizontal="right"/>
    </xf>
    <xf numFmtId="170" fontId="7" fillId="4" borderId="6" xfId="2" applyNumberFormat="1" applyFont="1" applyFill="1" applyBorder="1" applyAlignment="1"/>
    <xf numFmtId="3" fontId="7" fillId="4" borderId="6" xfId="2" applyNumberFormat="1" applyFont="1" applyFill="1" applyBorder="1" applyAlignment="1"/>
    <xf numFmtId="170" fontId="7" fillId="4" borderId="6" xfId="2" applyNumberFormat="1" applyFont="1" applyFill="1" applyBorder="1"/>
    <xf numFmtId="0" fontId="7" fillId="4" borderId="0" xfId="0" applyFont="1" applyFill="1" applyAlignment="1">
      <alignment horizontal="right"/>
    </xf>
    <xf numFmtId="167" fontId="50" fillId="4" borderId="0" xfId="2" applyNumberFormat="1" applyFont="1" applyFill="1" applyAlignment="1">
      <alignment horizontal="right"/>
    </xf>
    <xf numFmtId="0" fontId="52" fillId="4" borderId="0" xfId="0" applyFont="1" applyFill="1" applyAlignment="1">
      <alignment horizontal="justify"/>
    </xf>
    <xf numFmtId="0" fontId="53" fillId="4" borderId="5" xfId="0" applyFont="1" applyFill="1" applyBorder="1" applyAlignment="1">
      <alignment horizontal="center" vertical="center" wrapText="1"/>
    </xf>
    <xf numFmtId="43" fontId="22" fillId="4" borderId="3" xfId="2" applyFont="1" applyFill="1" applyBorder="1" applyAlignment="1">
      <alignment horizontal="center" vertical="center" wrapText="1"/>
    </xf>
    <xf numFmtId="174" fontId="53" fillId="4" borderId="13" xfId="2" applyNumberFormat="1" applyFont="1" applyFill="1" applyBorder="1" applyAlignment="1">
      <alignment vertical="center"/>
    </xf>
    <xf numFmtId="0" fontId="22" fillId="4" borderId="4" xfId="0" applyFont="1" applyFill="1" applyBorder="1" applyAlignment="1">
      <alignment horizontal="center" vertical="center" wrapText="1"/>
    </xf>
    <xf numFmtId="0" fontId="22" fillId="4" borderId="4" xfId="0" applyFont="1" applyFill="1" applyBorder="1" applyAlignment="1">
      <alignment vertical="center" wrapText="1"/>
    </xf>
    <xf numFmtId="43" fontId="22" fillId="4" borderId="4" xfId="2" applyFont="1" applyFill="1" applyBorder="1" applyAlignment="1">
      <alignment horizontal="center" vertical="center" wrapText="1"/>
    </xf>
    <xf numFmtId="174" fontId="22" fillId="4" borderId="4" xfId="2" applyNumberFormat="1" applyFont="1" applyFill="1" applyBorder="1" applyAlignment="1">
      <alignment horizontal="center" vertical="center" wrapText="1"/>
    </xf>
    <xf numFmtId="0" fontId="22" fillId="4" borderId="5" xfId="0" applyFont="1" applyFill="1" applyBorder="1" applyAlignment="1">
      <alignment vertical="center" wrapText="1"/>
    </xf>
    <xf numFmtId="43" fontId="22" fillId="4" borderId="5" xfId="2" applyFont="1" applyFill="1" applyBorder="1" applyAlignment="1">
      <alignment horizontal="center" vertical="center" wrapText="1"/>
    </xf>
    <xf numFmtId="43" fontId="22" fillId="4" borderId="5" xfId="2" applyFont="1" applyFill="1" applyBorder="1" applyAlignment="1">
      <alignment vertical="center" wrapText="1"/>
    </xf>
    <xf numFmtId="174" fontId="22" fillId="4" borderId="5" xfId="2" applyNumberFormat="1" applyFont="1" applyFill="1" applyBorder="1" applyAlignment="1">
      <alignment vertical="center" wrapText="1"/>
    </xf>
    <xf numFmtId="176" fontId="22" fillId="4" borderId="0" xfId="2" applyNumberFormat="1" applyFont="1" applyFill="1"/>
    <xf numFmtId="0" fontId="53" fillId="4" borderId="5" xfId="0" applyFont="1" applyFill="1" applyBorder="1" applyAlignment="1">
      <alignment vertical="center" wrapText="1"/>
    </xf>
    <xf numFmtId="0" fontId="53" fillId="4" borderId="5" xfId="0" applyFont="1" applyFill="1" applyBorder="1" applyAlignment="1">
      <alignment wrapText="1"/>
    </xf>
    <xf numFmtId="43" fontId="53" fillId="4" borderId="5" xfId="2" applyFont="1" applyFill="1" applyBorder="1" applyAlignment="1">
      <alignment vertical="center" wrapText="1"/>
    </xf>
    <xf numFmtId="174" fontId="53" fillId="4" borderId="5" xfId="2" applyNumberFormat="1" applyFont="1" applyFill="1" applyBorder="1" applyAlignment="1">
      <alignment vertical="center" wrapText="1"/>
    </xf>
    <xf numFmtId="173" fontId="22" fillId="4" borderId="0" xfId="2" applyNumberFormat="1" applyFont="1" applyFill="1"/>
    <xf numFmtId="174" fontId="22" fillId="4" borderId="5" xfId="2" applyNumberFormat="1" applyFont="1" applyFill="1" applyBorder="1" applyAlignment="1">
      <alignment horizontal="center" vertical="center" wrapText="1"/>
    </xf>
    <xf numFmtId="0" fontId="72" fillId="4" borderId="5" xfId="0" applyFont="1" applyFill="1" applyBorder="1" applyAlignment="1">
      <alignment vertical="center" wrapText="1"/>
    </xf>
    <xf numFmtId="174" fontId="22" fillId="4" borderId="0" xfId="2" applyNumberFormat="1" applyFont="1" applyFill="1"/>
    <xf numFmtId="174" fontId="53" fillId="4" borderId="5" xfId="2" applyNumberFormat="1" applyFont="1" applyFill="1" applyBorder="1"/>
    <xf numFmtId="43" fontId="22" fillId="4" borderId="6" xfId="2" applyFont="1" applyFill="1" applyBorder="1" applyAlignment="1">
      <alignment horizontal="center" vertical="center" wrapText="1"/>
    </xf>
    <xf numFmtId="174" fontId="22" fillId="4" borderId="6" xfId="2" applyNumberFormat="1" applyFont="1" applyFill="1" applyBorder="1" applyAlignment="1">
      <alignment horizontal="center" vertical="center" wrapText="1"/>
    </xf>
    <xf numFmtId="181" fontId="53" fillId="4" borderId="0" xfId="2" applyNumberFormat="1" applyFont="1" applyFill="1"/>
    <xf numFmtId="0" fontId="71" fillId="4" borderId="0" xfId="0" applyFont="1" applyFill="1" applyAlignment="1">
      <alignment horizontal="justify"/>
    </xf>
    <xf numFmtId="0" fontId="50" fillId="4" borderId="0" xfId="0" applyFont="1" applyFill="1" applyAlignment="1">
      <alignment horizontal="center"/>
    </xf>
    <xf numFmtId="0" fontId="72" fillId="4" borderId="0" xfId="0" applyFont="1" applyFill="1"/>
    <xf numFmtId="0" fontId="7" fillId="4" borderId="5" xfId="0" applyFont="1" applyFill="1" applyBorder="1" applyAlignment="1">
      <alignment horizontal="justify" vertical="center" wrapText="1"/>
    </xf>
    <xf numFmtId="171" fontId="45" fillId="4" borderId="0" xfId="0" applyNumberFormat="1" applyFont="1" applyFill="1" applyAlignment="1">
      <alignment horizontal="center"/>
    </xf>
    <xf numFmtId="171" fontId="60" fillId="4" borderId="0" xfId="0" applyNumberFormat="1" applyFont="1" applyFill="1"/>
    <xf numFmtId="171" fontId="60" fillId="4" borderId="0" xfId="0" applyNumberFormat="1" applyFont="1" applyFill="1" applyAlignment="1">
      <alignment horizontal="center"/>
    </xf>
    <xf numFmtId="173" fontId="45" fillId="4" borderId="0" xfId="0" applyNumberFormat="1" applyFont="1" applyFill="1"/>
    <xf numFmtId="0" fontId="4" fillId="4" borderId="0" xfId="0" applyFont="1" applyFill="1" applyAlignment="1">
      <alignment vertical="center" wrapText="1"/>
    </xf>
    <xf numFmtId="0" fontId="50" fillId="4" borderId="5" xfId="0" applyFont="1" applyFill="1" applyBorder="1" applyAlignment="1">
      <alignment horizontal="justify" vertical="center" wrapText="1"/>
    </xf>
    <xf numFmtId="0" fontId="54" fillId="4" borderId="5" xfId="0" applyFont="1" applyFill="1" applyBorder="1" applyAlignment="1">
      <alignment horizontal="center" vertical="center" wrapText="1"/>
    </xf>
    <xf numFmtId="0" fontId="45" fillId="4" borderId="6" xfId="0" applyFont="1" applyFill="1" applyBorder="1" applyAlignment="1">
      <alignment horizontal="center" vertical="center" wrapText="1"/>
    </xf>
    <xf numFmtId="173" fontId="58" fillId="4" borderId="6" xfId="2" applyNumberFormat="1" applyFont="1" applyFill="1" applyBorder="1" applyAlignment="1">
      <alignment horizontal="center" vertical="center" wrapText="1"/>
    </xf>
    <xf numFmtId="181" fontId="58" fillId="4" borderId="6" xfId="2" applyNumberFormat="1" applyFont="1" applyFill="1" applyBorder="1" applyAlignment="1">
      <alignment horizontal="center" vertical="center" wrapText="1"/>
    </xf>
    <xf numFmtId="174" fontId="58" fillId="4" borderId="6" xfId="2" applyNumberFormat="1" applyFont="1" applyFill="1" applyBorder="1" applyAlignment="1">
      <alignment vertical="center"/>
    </xf>
    <xf numFmtId="174" fontId="58" fillId="4" borderId="6" xfId="2" applyNumberFormat="1" applyFont="1" applyFill="1" applyBorder="1" applyAlignment="1">
      <alignment horizontal="center" vertical="center" wrapText="1"/>
    </xf>
    <xf numFmtId="43" fontId="58" fillId="4" borderId="6" xfId="2" applyFont="1" applyFill="1" applyBorder="1" applyAlignment="1">
      <alignment horizontal="center" vertical="center" wrapText="1"/>
    </xf>
    <xf numFmtId="0" fontId="19" fillId="0" borderId="5" xfId="0" applyFont="1" applyBorder="1" applyAlignment="1">
      <alignment vertical="center" wrapText="1"/>
    </xf>
    <xf numFmtId="0" fontId="50" fillId="0" borderId="5" xfId="0" applyFont="1" applyBorder="1" applyAlignment="1">
      <alignment vertical="center" wrapText="1"/>
    </xf>
    <xf numFmtId="0" fontId="70" fillId="4" borderId="5" xfId="0" applyFont="1" applyFill="1" applyBorder="1" applyAlignment="1">
      <alignment vertical="center" wrapText="1"/>
    </xf>
    <xf numFmtId="43" fontId="4" fillId="4" borderId="0" xfId="2" applyFont="1" applyFill="1" applyAlignment="1">
      <alignment horizontal="right" vertical="center"/>
    </xf>
    <xf numFmtId="0" fontId="22" fillId="4" borderId="5" xfId="0" applyFont="1" applyFill="1" applyBorder="1" applyAlignment="1">
      <alignment horizontal="justify" vertical="center" wrapText="1"/>
    </xf>
    <xf numFmtId="167" fontId="3" fillId="6" borderId="8" xfId="2" applyNumberFormat="1" applyFont="1" applyFill="1" applyBorder="1" applyAlignment="1">
      <alignment horizontal="justify" wrapText="1"/>
    </xf>
    <xf numFmtId="167" fontId="3" fillId="6" borderId="5" xfId="2" applyNumberFormat="1" applyFont="1" applyFill="1" applyBorder="1" applyAlignment="1">
      <alignment horizontal="justify" wrapText="1"/>
    </xf>
    <xf numFmtId="43" fontId="3" fillId="4" borderId="3" xfId="2" applyFont="1" applyFill="1" applyBorder="1" applyAlignment="1">
      <alignment horizontal="center" vertical="center" wrapText="1"/>
    </xf>
    <xf numFmtId="174" fontId="54" fillId="4" borderId="5" xfId="2" applyNumberFormat="1" applyFont="1" applyFill="1" applyBorder="1" applyAlignment="1">
      <alignment vertical="center" wrapText="1"/>
    </xf>
    <xf numFmtId="174" fontId="50" fillId="4" borderId="5" xfId="2" applyNumberFormat="1" applyFont="1" applyFill="1" applyBorder="1" applyAlignment="1">
      <alignment vertical="center" wrapText="1"/>
    </xf>
    <xf numFmtId="43" fontId="50" fillId="4" borderId="5" xfId="2" applyFont="1" applyFill="1" applyBorder="1" applyAlignment="1">
      <alignment vertical="center" wrapText="1"/>
    </xf>
    <xf numFmtId="0" fontId="85" fillId="4" borderId="0" xfId="0" applyFont="1" applyFill="1"/>
    <xf numFmtId="0" fontId="19" fillId="4" borderId="0" xfId="0" applyFont="1" applyFill="1"/>
    <xf numFmtId="0" fontId="87" fillId="4" borderId="0" xfId="0" applyFont="1" applyFill="1"/>
    <xf numFmtId="0" fontId="3" fillId="4" borderId="3" xfId="0" applyFont="1" applyFill="1" applyBorder="1" applyAlignment="1">
      <alignment horizontal="center" vertical="center" wrapText="1"/>
    </xf>
    <xf numFmtId="0" fontId="46" fillId="4" borderId="0" xfId="0" applyFont="1" applyFill="1"/>
    <xf numFmtId="0" fontId="68" fillId="4" borderId="0" xfId="0" applyFont="1" applyFill="1"/>
    <xf numFmtId="0" fontId="49" fillId="0" borderId="0" xfId="0" applyFont="1"/>
    <xf numFmtId="0" fontId="47" fillId="4" borderId="0" xfId="0" applyFont="1" applyFill="1" applyAlignment="1">
      <alignment vertical="center"/>
    </xf>
    <xf numFmtId="172" fontId="45" fillId="4" borderId="0" xfId="2" applyNumberFormat="1" applyFont="1" applyFill="1"/>
    <xf numFmtId="0" fontId="49" fillId="4" borderId="0" xfId="0" applyFont="1" applyFill="1"/>
    <xf numFmtId="0" fontId="97" fillId="4" borderId="0" xfId="0" applyFont="1" applyFill="1" applyAlignment="1">
      <alignment horizontal="justify"/>
    </xf>
    <xf numFmtId="0" fontId="96" fillId="4" borderId="0" xfId="0" applyFont="1" applyFill="1" applyAlignment="1">
      <alignment horizontal="justify"/>
    </xf>
    <xf numFmtId="167" fontId="52" fillId="4" borderId="0" xfId="0" applyNumberFormat="1" applyFont="1" applyFill="1" applyAlignment="1">
      <alignment horizontal="justify"/>
    </xf>
    <xf numFmtId="0" fontId="7" fillId="4" borderId="0" xfId="0" applyFont="1" applyFill="1" applyAlignment="1">
      <alignment horizontal="center" vertical="center" wrapText="1"/>
    </xf>
    <xf numFmtId="167" fontId="85" fillId="4" borderId="0" xfId="2" applyNumberFormat="1" applyFont="1" applyFill="1"/>
    <xf numFmtId="167" fontId="68" fillId="4" borderId="0" xfId="2" applyNumberFormat="1" applyFont="1" applyFill="1"/>
    <xf numFmtId="167" fontId="0" fillId="0" borderId="0" xfId="2" applyNumberFormat="1" applyFont="1"/>
    <xf numFmtId="167" fontId="96" fillId="4" borderId="3" xfId="2" applyNumberFormat="1" applyFont="1" applyFill="1" applyBorder="1" applyAlignment="1">
      <alignment horizontal="justify"/>
    </xf>
    <xf numFmtId="167" fontId="52" fillId="4" borderId="3" xfId="2" applyNumberFormat="1" applyFont="1" applyFill="1" applyBorder="1" applyAlignment="1">
      <alignment horizontal="justify"/>
    </xf>
    <xf numFmtId="0" fontId="39" fillId="0" borderId="3" xfId="0" applyFont="1" applyBorder="1"/>
    <xf numFmtId="0" fontId="71" fillId="4" borderId="3" xfId="0" applyFont="1" applyFill="1" applyBorder="1" applyAlignment="1">
      <alignment horizontal="center"/>
    </xf>
    <xf numFmtId="0" fontId="71" fillId="4" borderId="3" xfId="0" applyFont="1" applyFill="1" applyBorder="1" applyAlignment="1">
      <alignment horizontal="justify" wrapText="1"/>
    </xf>
    <xf numFmtId="167" fontId="71" fillId="4" borderId="3" xfId="2" applyNumberFormat="1" applyFont="1" applyFill="1" applyBorder="1" applyAlignment="1">
      <alignment horizontal="right" wrapText="1"/>
    </xf>
    <xf numFmtId="167" fontId="71" fillId="4" borderId="3" xfId="2" applyNumberFormat="1" applyFont="1" applyFill="1" applyBorder="1" applyAlignment="1">
      <alignment wrapText="1"/>
    </xf>
    <xf numFmtId="167" fontId="71" fillId="4" borderId="3" xfId="2" applyNumberFormat="1" applyFont="1" applyFill="1" applyBorder="1" applyAlignment="1">
      <alignment horizontal="justify"/>
    </xf>
    <xf numFmtId="0" fontId="71" fillId="4" borderId="3" xfId="0" applyFont="1" applyFill="1" applyBorder="1" applyAlignment="1">
      <alignment vertical="center" wrapText="1"/>
    </xf>
    <xf numFmtId="167" fontId="71" fillId="4" borderId="3" xfId="2" applyNumberFormat="1" applyFont="1" applyFill="1" applyBorder="1" applyAlignment="1"/>
    <xf numFmtId="170" fontId="71" fillId="4" borderId="3" xfId="2" applyNumberFormat="1" applyFont="1" applyFill="1" applyBorder="1" applyAlignment="1"/>
    <xf numFmtId="3" fontId="71" fillId="4" borderId="3" xfId="20" applyNumberFormat="1" applyFont="1" applyFill="1" applyBorder="1" applyAlignment="1">
      <alignment horizontal="right" vertical="center"/>
    </xf>
    <xf numFmtId="170" fontId="71" fillId="4" borderId="3" xfId="2" applyNumberFormat="1" applyFont="1" applyFill="1" applyBorder="1" applyAlignment="1">
      <alignment horizontal="right" wrapText="1"/>
    </xf>
    <xf numFmtId="186" fontId="71" fillId="4" borderId="3" xfId="2" applyNumberFormat="1" applyFont="1" applyFill="1" applyBorder="1" applyAlignment="1">
      <alignment horizontal="right"/>
    </xf>
    <xf numFmtId="170" fontId="71" fillId="4" borderId="3" xfId="2" applyNumberFormat="1" applyFont="1" applyFill="1" applyBorder="1" applyAlignment="1">
      <alignment horizontal="right"/>
    </xf>
    <xf numFmtId="167" fontId="71" fillId="5" borderId="3" xfId="2" applyNumberFormat="1" applyFont="1" applyFill="1" applyBorder="1" applyAlignment="1">
      <alignment wrapText="1"/>
    </xf>
    <xf numFmtId="3" fontId="71" fillId="4" borderId="3" xfId="20" applyNumberFormat="1" applyFont="1" applyFill="1" applyBorder="1" applyAlignment="1">
      <alignment horizontal="right"/>
    </xf>
    <xf numFmtId="186" fontId="71" fillId="5" borderId="3" xfId="2" applyNumberFormat="1" applyFont="1" applyFill="1" applyBorder="1" applyAlignment="1">
      <alignment horizontal="right"/>
    </xf>
    <xf numFmtId="170" fontId="71" fillId="5" borderId="3" xfId="2" applyNumberFormat="1" applyFont="1" applyFill="1" applyBorder="1" applyAlignment="1">
      <alignment horizontal="right"/>
    </xf>
    <xf numFmtId="3" fontId="99" fillId="9" borderId="3" xfId="0" applyNumberFormat="1" applyFont="1" applyFill="1" applyBorder="1" applyAlignment="1">
      <alignment wrapText="1"/>
    </xf>
    <xf numFmtId="170" fontId="71" fillId="8" borderId="3" xfId="2" applyNumberFormat="1" applyFont="1" applyFill="1" applyBorder="1" applyAlignment="1">
      <alignment horizontal="right" wrapText="1"/>
    </xf>
    <xf numFmtId="167" fontId="71" fillId="7" borderId="3" xfId="2" applyNumberFormat="1" applyFont="1" applyFill="1" applyBorder="1" applyAlignment="1">
      <alignment wrapText="1"/>
    </xf>
    <xf numFmtId="0" fontId="71" fillId="4" borderId="3" xfId="0" applyFont="1" applyFill="1" applyBorder="1" applyAlignment="1">
      <alignment horizontal="justify" vertical="center" wrapText="1"/>
    </xf>
    <xf numFmtId="167" fontId="39" fillId="0" borderId="0" xfId="2" applyNumberFormat="1" applyFont="1"/>
    <xf numFmtId="167" fontId="39" fillId="0" borderId="3" xfId="2" applyNumberFormat="1" applyFont="1" applyBorder="1" applyAlignment="1">
      <alignment horizontal="center" vertical="center" wrapText="1"/>
    </xf>
    <xf numFmtId="0" fontId="54" fillId="0" borderId="3" xfId="0" applyFont="1" applyBorder="1"/>
    <xf numFmtId="167" fontId="40" fillId="0" borderId="3" xfId="2" applyNumberFormat="1" applyFont="1" applyBorder="1"/>
    <xf numFmtId="167" fontId="100" fillId="0" borderId="3" xfId="2" applyNumberFormat="1" applyFont="1" applyBorder="1"/>
    <xf numFmtId="0" fontId="97" fillId="4" borderId="3" xfId="0" applyFont="1" applyFill="1" applyBorder="1" applyAlignment="1">
      <alignment horizontal="center"/>
    </xf>
    <xf numFmtId="0" fontId="97" fillId="4" borderId="3" xfId="0" applyFont="1" applyFill="1" applyBorder="1" applyAlignment="1">
      <alignment horizontal="justify" wrapText="1"/>
    </xf>
    <xf numFmtId="167" fontId="97" fillId="4" borderId="3" xfId="2" applyNumberFormat="1" applyFont="1" applyFill="1" applyBorder="1" applyAlignment="1">
      <alignment horizontal="right" wrapText="1"/>
    </xf>
    <xf numFmtId="167" fontId="97" fillId="4" borderId="3" xfId="2" applyNumberFormat="1" applyFont="1" applyFill="1" applyBorder="1" applyAlignment="1">
      <alignment wrapText="1"/>
    </xf>
    <xf numFmtId="167" fontId="97" fillId="4" borderId="3" xfId="2" applyNumberFormat="1" applyFont="1" applyFill="1" applyBorder="1" applyAlignment="1">
      <alignment horizontal="justify"/>
    </xf>
    <xf numFmtId="0" fontId="97" fillId="4" borderId="3" xfId="0" applyFont="1" applyFill="1" applyBorder="1" applyAlignment="1">
      <alignment vertical="center" wrapText="1"/>
    </xf>
    <xf numFmtId="167" fontId="97" fillId="4" borderId="3" xfId="2" applyNumberFormat="1" applyFont="1" applyFill="1" applyBorder="1" applyAlignment="1"/>
    <xf numFmtId="170" fontId="97" fillId="4" borderId="3" xfId="2" applyNumberFormat="1" applyFont="1" applyFill="1" applyBorder="1" applyAlignment="1"/>
    <xf numFmtId="3" fontId="97" fillId="4" borderId="3" xfId="20" applyNumberFormat="1" applyFont="1" applyFill="1" applyBorder="1" applyAlignment="1">
      <alignment horizontal="right" vertical="center"/>
    </xf>
    <xf numFmtId="170" fontId="97" fillId="4" borderId="3" xfId="2" applyNumberFormat="1" applyFont="1" applyFill="1" applyBorder="1" applyAlignment="1">
      <alignment horizontal="right" wrapText="1"/>
    </xf>
    <xf numFmtId="186" fontId="97" fillId="4" borderId="3" xfId="2" applyNumberFormat="1" applyFont="1" applyFill="1" applyBorder="1" applyAlignment="1">
      <alignment horizontal="right"/>
    </xf>
    <xf numFmtId="170" fontId="97" fillId="4" borderId="3" xfId="2" applyNumberFormat="1" applyFont="1" applyFill="1" applyBorder="1" applyAlignment="1">
      <alignment horizontal="right"/>
    </xf>
    <xf numFmtId="0" fontId="101" fillId="0" borderId="3" xfId="0" applyFont="1" applyBorder="1"/>
    <xf numFmtId="167" fontId="102" fillId="0" borderId="3" xfId="2" applyNumberFormat="1" applyFont="1" applyBorder="1"/>
    <xf numFmtId="0" fontId="101" fillId="0" borderId="0" xfId="0" applyFont="1"/>
    <xf numFmtId="0" fontId="40" fillId="0" borderId="0" xfId="0" applyFont="1"/>
    <xf numFmtId="167" fontId="40" fillId="0" borderId="0" xfId="2" applyNumberFormat="1" applyFont="1"/>
    <xf numFmtId="0" fontId="100" fillId="0" borderId="0" xfId="0" applyFont="1"/>
    <xf numFmtId="0" fontId="51" fillId="0" borderId="0" xfId="0" applyFont="1"/>
    <xf numFmtId="167" fontId="51" fillId="0" borderId="0" xfId="2" applyNumberFormat="1" applyFont="1"/>
    <xf numFmtId="167" fontId="103" fillId="0" borderId="0" xfId="2" applyNumberFormat="1" applyFont="1"/>
    <xf numFmtId="0" fontId="103" fillId="0" borderId="0" xfId="0" applyFont="1"/>
    <xf numFmtId="0" fontId="54" fillId="11" borderId="3" xfId="0" applyFont="1" applyFill="1" applyBorder="1"/>
    <xf numFmtId="167" fontId="54" fillId="11" borderId="3" xfId="2" applyNumberFormat="1" applyFont="1" applyFill="1" applyBorder="1"/>
    <xf numFmtId="167" fontId="28" fillId="11" borderId="3" xfId="2" applyNumberFormat="1" applyFont="1" applyFill="1" applyBorder="1"/>
    <xf numFmtId="0" fontId="28" fillId="11" borderId="0" xfId="0" applyFont="1" applyFill="1"/>
    <xf numFmtId="167" fontId="28" fillId="0" borderId="0" xfId="0" applyNumberFormat="1" applyFont="1"/>
    <xf numFmtId="167" fontId="104" fillId="0" borderId="0" xfId="2" applyNumberFormat="1" applyFont="1"/>
    <xf numFmtId="167" fontId="63" fillId="0" borderId="3" xfId="2" applyNumberFormat="1" applyFont="1" applyBorder="1" applyAlignment="1">
      <alignment horizontal="center" vertical="center" wrapText="1"/>
    </xf>
    <xf numFmtId="167" fontId="104" fillId="0" borderId="3" xfId="2" applyNumberFormat="1" applyFont="1" applyBorder="1" applyAlignment="1">
      <alignment horizontal="center" vertical="center" wrapText="1"/>
    </xf>
    <xf numFmtId="167" fontId="104" fillId="0" borderId="0" xfId="2" applyNumberFormat="1" applyFont="1" applyBorder="1" applyAlignment="1">
      <alignment horizontal="center" vertical="center" wrapText="1"/>
    </xf>
    <xf numFmtId="167" fontId="105" fillId="11" borderId="3" xfId="2" applyNumberFormat="1" applyFont="1" applyFill="1" applyBorder="1"/>
    <xf numFmtId="0" fontId="105" fillId="11" borderId="3" xfId="0" applyFont="1" applyFill="1" applyBorder="1"/>
    <xf numFmtId="0" fontId="105" fillId="11" borderId="0" xfId="0" applyFont="1" applyFill="1"/>
    <xf numFmtId="167" fontId="105" fillId="0" borderId="3" xfId="2" applyNumberFormat="1" applyFont="1" applyBorder="1"/>
    <xf numFmtId="167" fontId="106" fillId="4" borderId="3" xfId="2" applyNumberFormat="1" applyFont="1" applyFill="1" applyBorder="1" applyAlignment="1">
      <alignment horizontal="justify"/>
    </xf>
    <xf numFmtId="0" fontId="71" fillId="5" borderId="3" xfId="0" applyFont="1" applyFill="1" applyBorder="1" applyAlignment="1">
      <alignment horizontal="center"/>
    </xf>
    <xf numFmtId="0" fontId="71" fillId="5" borderId="3" xfId="0" applyFont="1" applyFill="1" applyBorder="1" applyAlignment="1">
      <alignment vertical="center" wrapText="1"/>
    </xf>
    <xf numFmtId="167" fontId="71" fillId="5" borderId="3" xfId="2" applyNumberFormat="1" applyFont="1" applyFill="1" applyBorder="1" applyAlignment="1">
      <alignment horizontal="right" wrapText="1"/>
    </xf>
    <xf numFmtId="167" fontId="71" fillId="5" borderId="3" xfId="2" applyNumberFormat="1" applyFont="1" applyFill="1" applyBorder="1" applyAlignment="1"/>
    <xf numFmtId="170" fontId="71" fillId="5" borderId="3" xfId="2" applyNumberFormat="1" applyFont="1" applyFill="1" applyBorder="1" applyAlignment="1"/>
    <xf numFmtId="3" fontId="71" fillId="5" borderId="3" xfId="20" applyNumberFormat="1" applyFont="1" applyFill="1" applyBorder="1" applyAlignment="1">
      <alignment horizontal="right" vertical="center"/>
    </xf>
    <xf numFmtId="170" fontId="71" fillId="5" borderId="3" xfId="2" applyNumberFormat="1" applyFont="1" applyFill="1" applyBorder="1" applyAlignment="1">
      <alignment horizontal="right" wrapText="1"/>
    </xf>
    <xf numFmtId="167" fontId="71" fillId="10" borderId="3" xfId="2" applyNumberFormat="1" applyFont="1" applyFill="1" applyBorder="1" applyAlignment="1">
      <alignment horizontal="justify"/>
    </xf>
    <xf numFmtId="167" fontId="71" fillId="10" borderId="0" xfId="0" applyNumberFormat="1" applyFont="1" applyFill="1" applyAlignment="1">
      <alignment horizontal="justify"/>
    </xf>
    <xf numFmtId="167" fontId="104" fillId="10" borderId="3" xfId="2" applyNumberFormat="1" applyFont="1" applyFill="1" applyBorder="1" applyAlignment="1">
      <alignment horizontal="justify"/>
    </xf>
    <xf numFmtId="167" fontId="104" fillId="5" borderId="3" xfId="2" applyNumberFormat="1" applyFont="1" applyFill="1" applyBorder="1" applyAlignment="1">
      <alignment horizontal="justify"/>
    </xf>
    <xf numFmtId="167" fontId="104" fillId="5" borderId="0" xfId="2" applyNumberFormat="1" applyFont="1" applyFill="1" applyAlignment="1">
      <alignment horizontal="justify"/>
    </xf>
    <xf numFmtId="167" fontId="107" fillId="5" borderId="0" xfId="0" applyNumberFormat="1" applyFont="1" applyFill="1"/>
    <xf numFmtId="0" fontId="71" fillId="5" borderId="0" xfId="0" applyFont="1" applyFill="1" applyAlignment="1">
      <alignment horizontal="justify"/>
    </xf>
    <xf numFmtId="167" fontId="106" fillId="4" borderId="0" xfId="2" applyNumberFormat="1" applyFont="1" applyFill="1" applyAlignment="1">
      <alignment horizontal="justify"/>
    </xf>
    <xf numFmtId="0" fontId="71" fillId="12" borderId="3" xfId="0" applyFont="1" applyFill="1" applyBorder="1" applyAlignment="1">
      <alignment horizontal="center"/>
    </xf>
    <xf numFmtId="0" fontId="71" fillId="12" borderId="3" xfId="0" applyFont="1" applyFill="1" applyBorder="1" applyAlignment="1">
      <alignment vertical="center" wrapText="1"/>
    </xf>
    <xf numFmtId="167" fontId="71" fillId="12" borderId="3" xfId="2" applyNumberFormat="1" applyFont="1" applyFill="1" applyBorder="1" applyAlignment="1">
      <alignment horizontal="right" wrapText="1"/>
    </xf>
    <xf numFmtId="167" fontId="71" fillId="12" borderId="3" xfId="2" applyNumberFormat="1" applyFont="1" applyFill="1" applyBorder="1" applyAlignment="1">
      <alignment wrapText="1"/>
    </xf>
    <xf numFmtId="167" fontId="71" fillId="12" borderId="3" xfId="2" applyNumberFormat="1" applyFont="1" applyFill="1" applyBorder="1" applyAlignment="1"/>
    <xf numFmtId="170" fontId="71" fillId="12" borderId="3" xfId="2" applyNumberFormat="1" applyFont="1" applyFill="1" applyBorder="1" applyAlignment="1"/>
    <xf numFmtId="3" fontId="71" fillId="12" borderId="3" xfId="20" applyNumberFormat="1" applyFont="1" applyFill="1" applyBorder="1" applyAlignment="1">
      <alignment horizontal="right"/>
    </xf>
    <xf numFmtId="170" fontId="71" fillId="12" borderId="3" xfId="2" applyNumberFormat="1" applyFont="1" applyFill="1" applyBorder="1" applyAlignment="1">
      <alignment horizontal="right" wrapText="1"/>
    </xf>
    <xf numFmtId="186" fontId="71" fillId="12" borderId="3" xfId="2" applyNumberFormat="1" applyFont="1" applyFill="1" applyBorder="1" applyAlignment="1">
      <alignment horizontal="right"/>
    </xf>
    <xf numFmtId="170" fontId="71" fillId="12" borderId="3" xfId="2" applyNumberFormat="1" applyFont="1" applyFill="1" applyBorder="1" applyAlignment="1">
      <alignment horizontal="right"/>
    </xf>
    <xf numFmtId="167" fontId="71" fillId="12" borderId="3" xfId="2" applyNumberFormat="1" applyFont="1" applyFill="1" applyBorder="1" applyAlignment="1">
      <alignment horizontal="justify"/>
    </xf>
    <xf numFmtId="167" fontId="104" fillId="12" borderId="3" xfId="2" applyNumberFormat="1" applyFont="1" applyFill="1" applyBorder="1" applyAlignment="1">
      <alignment horizontal="justify"/>
    </xf>
    <xf numFmtId="167" fontId="104" fillId="12" borderId="0" xfId="2" applyNumberFormat="1" applyFont="1" applyFill="1" applyAlignment="1">
      <alignment horizontal="justify"/>
    </xf>
    <xf numFmtId="167" fontId="107" fillId="12" borderId="0" xfId="0" applyNumberFormat="1" applyFont="1" applyFill="1"/>
    <xf numFmtId="0" fontId="71" fillId="12" borderId="0" xfId="0" applyFont="1" applyFill="1" applyAlignment="1">
      <alignment horizontal="justify"/>
    </xf>
    <xf numFmtId="167" fontId="104" fillId="4" borderId="0" xfId="2" applyNumberFormat="1" applyFont="1" applyFill="1" applyAlignment="1">
      <alignment horizontal="justify"/>
    </xf>
    <xf numFmtId="3" fontId="71" fillId="12" borderId="3" xfId="20" applyNumberFormat="1" applyFont="1" applyFill="1" applyBorder="1" applyAlignment="1">
      <alignment horizontal="right" vertical="center"/>
    </xf>
    <xf numFmtId="167" fontId="104" fillId="4" borderId="3" xfId="2" applyNumberFormat="1" applyFont="1" applyFill="1" applyBorder="1" applyAlignment="1">
      <alignment horizontal="justify"/>
    </xf>
    <xf numFmtId="167" fontId="71" fillId="5" borderId="3" xfId="2" applyNumberFormat="1" applyFont="1" applyFill="1" applyBorder="1" applyAlignment="1">
      <alignment horizontal="justify"/>
    </xf>
    <xf numFmtId="167" fontId="28" fillId="5" borderId="0" xfId="0" applyNumberFormat="1" applyFont="1" applyFill="1"/>
    <xf numFmtId="3" fontId="71" fillId="5" borderId="3" xfId="20" applyNumberFormat="1" applyFont="1" applyFill="1" applyBorder="1" applyAlignment="1">
      <alignment horizontal="right"/>
    </xf>
    <xf numFmtId="167" fontId="52" fillId="12" borderId="3" xfId="2" applyNumberFormat="1" applyFont="1" applyFill="1" applyBorder="1" applyAlignment="1">
      <alignment horizontal="justify"/>
    </xf>
    <xf numFmtId="0" fontId="52" fillId="12" borderId="0" xfId="0" applyFont="1" applyFill="1" applyAlignment="1">
      <alignment horizontal="justify"/>
    </xf>
    <xf numFmtId="167" fontId="105" fillId="0" borderId="0" xfId="2" applyNumberFormat="1" applyFont="1"/>
    <xf numFmtId="167" fontId="108" fillId="0" borderId="0" xfId="2" applyNumberFormat="1" applyFont="1"/>
    <xf numFmtId="0" fontId="108" fillId="0" borderId="0" xfId="0" applyFont="1"/>
    <xf numFmtId="167" fontId="54" fillId="0" borderId="3" xfId="2" applyNumberFormat="1" applyFont="1" applyBorder="1"/>
    <xf numFmtId="167" fontId="109" fillId="0" borderId="3" xfId="2" applyNumberFormat="1" applyFont="1" applyBorder="1"/>
    <xf numFmtId="0" fontId="109" fillId="0" borderId="3" xfId="0" applyFont="1" applyBorder="1"/>
    <xf numFmtId="0" fontId="109" fillId="0" borderId="0" xfId="0" applyFont="1"/>
    <xf numFmtId="0" fontId="104" fillId="4" borderId="3" xfId="0" applyFont="1" applyFill="1" applyBorder="1" applyAlignment="1">
      <alignment horizontal="justify"/>
    </xf>
    <xf numFmtId="0" fontId="104" fillId="4" borderId="0" xfId="0" applyFont="1" applyFill="1" applyAlignment="1">
      <alignment horizontal="justify"/>
    </xf>
    <xf numFmtId="167" fontId="104" fillId="4" borderId="3" xfId="0" applyNumberFormat="1" applyFont="1" applyFill="1" applyBorder="1" applyAlignment="1">
      <alignment horizontal="justify"/>
    </xf>
    <xf numFmtId="167" fontId="104" fillId="4" borderId="0" xfId="0" applyNumberFormat="1" applyFont="1" applyFill="1" applyAlignment="1">
      <alignment horizontal="justify"/>
    </xf>
    <xf numFmtId="0" fontId="106" fillId="4" borderId="3" xfId="0" applyFont="1" applyFill="1" applyBorder="1" applyAlignment="1">
      <alignment horizontal="justify"/>
    </xf>
    <xf numFmtId="0" fontId="106" fillId="4" borderId="0" xfId="0" applyFont="1" applyFill="1" applyAlignment="1">
      <alignment horizontal="justify"/>
    </xf>
    <xf numFmtId="167" fontId="110" fillId="0" borderId="0" xfId="2" applyNumberFormat="1" applyFont="1"/>
    <xf numFmtId="0" fontId="110" fillId="0" borderId="0" xfId="0" applyFont="1"/>
    <xf numFmtId="0" fontId="115" fillId="4" borderId="0" xfId="0" applyFont="1" applyFill="1"/>
    <xf numFmtId="0" fontId="87" fillId="4" borderId="5" xfId="0" applyFont="1" applyFill="1" applyBorder="1" applyAlignment="1">
      <alignment horizontal="center" vertical="center" wrapText="1"/>
    </xf>
    <xf numFmtId="0" fontId="60" fillId="4" borderId="5" xfId="0" applyFont="1" applyFill="1" applyBorder="1" applyAlignment="1">
      <alignment vertical="center" wrapText="1"/>
    </xf>
    <xf numFmtId="0" fontId="43" fillId="4" borderId="6" xfId="0" applyFont="1" applyFill="1" applyBorder="1" applyAlignment="1">
      <alignment horizontal="justify" vertical="center" wrapText="1"/>
    </xf>
    <xf numFmtId="0" fontId="87" fillId="4" borderId="5" xfId="0" applyFont="1" applyFill="1" applyBorder="1" applyAlignment="1">
      <alignment horizontal="justify" vertical="center" wrapText="1"/>
    </xf>
    <xf numFmtId="173" fontId="114" fillId="4" borderId="5" xfId="2" applyNumberFormat="1" applyFont="1" applyFill="1" applyBorder="1" applyAlignment="1">
      <alignment horizontal="center" vertical="center" wrapText="1"/>
    </xf>
    <xf numFmtId="174" fontId="114" fillId="4" borderId="5" xfId="2" applyNumberFormat="1" applyFont="1" applyFill="1" applyBorder="1" applyAlignment="1">
      <alignment horizontal="center" vertical="center" wrapText="1"/>
    </xf>
    <xf numFmtId="43" fontId="114" fillId="4" borderId="5" xfId="2" applyFont="1" applyFill="1" applyBorder="1" applyAlignment="1">
      <alignment horizontal="center" vertical="center" wrapText="1"/>
    </xf>
    <xf numFmtId="0" fontId="86" fillId="4" borderId="5" xfId="0" applyFont="1" applyFill="1" applyBorder="1" applyAlignment="1">
      <alignment horizontal="justify" vertical="center" wrapText="1"/>
    </xf>
    <xf numFmtId="181" fontId="87" fillId="4" borderId="0" xfId="0" applyNumberFormat="1" applyFont="1" applyFill="1"/>
    <xf numFmtId="177" fontId="86" fillId="4" borderId="5" xfId="0" applyNumberFormat="1" applyFont="1" applyFill="1" applyBorder="1" applyAlignment="1">
      <alignment vertical="center" wrapText="1"/>
    </xf>
    <xf numFmtId="181" fontId="114" fillId="4" borderId="5" xfId="2" applyNumberFormat="1" applyFont="1" applyFill="1" applyBorder="1" applyAlignment="1">
      <alignment horizontal="center" vertical="center" wrapText="1"/>
    </xf>
    <xf numFmtId="174" fontId="114" fillId="4" borderId="5" xfId="2" applyNumberFormat="1" applyFont="1" applyFill="1" applyBorder="1" applyAlignment="1">
      <alignment vertical="center"/>
    </xf>
    <xf numFmtId="167" fontId="96" fillId="4" borderId="0" xfId="0" applyNumberFormat="1" applyFont="1" applyFill="1" applyAlignment="1">
      <alignment horizontal="justify"/>
    </xf>
    <xf numFmtId="0" fontId="59" fillId="4" borderId="5" xfId="0" applyFont="1" applyFill="1" applyBorder="1" applyAlignment="1">
      <alignment horizontal="center" vertical="center" wrapText="1"/>
    </xf>
    <xf numFmtId="0" fontId="116" fillId="4" borderId="5" xfId="0" applyFont="1" applyFill="1" applyBorder="1" applyAlignment="1">
      <alignment vertical="center" wrapText="1"/>
    </xf>
    <xf numFmtId="173" fontId="61" fillId="4" borderId="5" xfId="2" applyNumberFormat="1" applyFont="1" applyFill="1" applyBorder="1" applyAlignment="1">
      <alignment horizontal="center" vertical="center" wrapText="1"/>
    </xf>
    <xf numFmtId="43" fontId="61" fillId="4" borderId="6" xfId="2" applyFont="1" applyFill="1" applyBorder="1" applyAlignment="1">
      <alignment horizontal="center" vertical="center" wrapText="1"/>
    </xf>
    <xf numFmtId="0" fontId="115" fillId="4" borderId="7" xfId="0" applyFont="1" applyFill="1" applyBorder="1" applyAlignment="1">
      <alignment horizontal="center" vertical="center" wrapText="1"/>
    </xf>
    <xf numFmtId="0" fontId="115" fillId="4" borderId="7" xfId="0" applyFont="1" applyFill="1" applyBorder="1" applyAlignment="1">
      <alignment horizontal="justify" vertical="center" wrapText="1"/>
    </xf>
    <xf numFmtId="174" fontId="113" fillId="4" borderId="7" xfId="2" applyNumberFormat="1" applyFont="1" applyFill="1" applyBorder="1" applyAlignment="1">
      <alignment horizontal="center" vertical="center" wrapText="1"/>
    </xf>
    <xf numFmtId="174" fontId="58" fillId="4" borderId="5" xfId="2" applyNumberFormat="1" applyFont="1" applyFill="1" applyBorder="1" applyAlignment="1">
      <alignment horizontal="center" vertical="center" wrapText="1"/>
    </xf>
    <xf numFmtId="177" fontId="43" fillId="4" borderId="5" xfId="0" applyNumberFormat="1" applyFont="1" applyFill="1" applyBorder="1" applyAlignment="1">
      <alignment vertical="center" wrapText="1"/>
    </xf>
    <xf numFmtId="43" fontId="58" fillId="4" borderId="5" xfId="2" applyFont="1" applyFill="1" applyBorder="1" applyAlignment="1">
      <alignment horizontal="center" vertical="center" wrapText="1"/>
    </xf>
    <xf numFmtId="174" fontId="54" fillId="4" borderId="6" xfId="2" applyNumberFormat="1" applyFont="1" applyFill="1" applyBorder="1" applyAlignment="1">
      <alignment vertical="center" wrapText="1"/>
    </xf>
    <xf numFmtId="174" fontId="3" fillId="4" borderId="3" xfId="2" applyNumberFormat="1" applyFont="1" applyFill="1" applyBorder="1" applyAlignment="1">
      <alignment horizontal="center" vertical="center" wrapText="1"/>
    </xf>
    <xf numFmtId="0" fontId="54" fillId="4" borderId="3" xfId="0" applyFont="1" applyFill="1" applyBorder="1" applyAlignment="1">
      <alignment horizontal="center" vertical="center" wrapText="1"/>
    </xf>
    <xf numFmtId="0" fontId="61" fillId="4" borderId="3" xfId="0" applyFont="1" applyFill="1" applyBorder="1" applyAlignment="1">
      <alignment horizontal="center" vertical="center" wrapText="1"/>
    </xf>
    <xf numFmtId="0" fontId="59" fillId="4" borderId="3" xfId="0" applyFont="1" applyFill="1" applyBorder="1" applyAlignment="1">
      <alignment horizontal="center" vertical="center" wrapText="1"/>
    </xf>
    <xf numFmtId="0" fontId="46" fillId="4" borderId="3" xfId="0" applyFont="1" applyFill="1" applyBorder="1" applyAlignment="1">
      <alignment horizontal="center" vertical="center" wrapText="1"/>
    </xf>
    <xf numFmtId="0" fontId="69" fillId="4" borderId="0" xfId="0" applyFont="1" applyFill="1" applyAlignment="1">
      <alignment horizontal="center" vertical="center" wrapText="1"/>
    </xf>
    <xf numFmtId="0" fontId="55" fillId="4" borderId="0" xfId="0" applyFont="1" applyFill="1"/>
    <xf numFmtId="0" fontId="38" fillId="4" borderId="0" xfId="0" applyFont="1" applyFill="1"/>
    <xf numFmtId="0" fontId="40" fillId="4" borderId="0" xfId="0" applyFont="1" applyFill="1"/>
    <xf numFmtId="0" fontId="55" fillId="4" borderId="0" xfId="0" applyFont="1" applyFill="1" applyAlignment="1">
      <alignment horizontal="center" wrapText="1"/>
    </xf>
    <xf numFmtId="0" fontId="55" fillId="4" borderId="0" xfId="0" applyFont="1" applyFill="1" applyAlignment="1">
      <alignment wrapText="1"/>
    </xf>
    <xf numFmtId="0" fontId="3" fillId="4" borderId="0" xfId="0" applyFont="1" applyFill="1" applyAlignment="1">
      <alignment vertical="center" wrapText="1"/>
    </xf>
    <xf numFmtId="169" fontId="50" fillId="4" borderId="0" xfId="2" applyNumberFormat="1" applyFont="1" applyFill="1"/>
    <xf numFmtId="167" fontId="50" fillId="4" borderId="0" xfId="0" applyNumberFormat="1" applyFont="1" applyFill="1"/>
    <xf numFmtId="181" fontId="53" fillId="4" borderId="0" xfId="0" applyNumberFormat="1" applyFont="1" applyFill="1"/>
    <xf numFmtId="0" fontId="53" fillId="4" borderId="5" xfId="0" applyFont="1" applyFill="1" applyBorder="1" applyAlignment="1">
      <alignment horizontal="justify" vertical="center" wrapText="1"/>
    </xf>
    <xf numFmtId="173" fontId="38" fillId="4" borderId="5" xfId="2" applyNumberFormat="1" applyFont="1" applyFill="1" applyBorder="1" applyAlignment="1">
      <alignment horizontal="center" vertical="center" wrapText="1"/>
    </xf>
    <xf numFmtId="181" fontId="38" fillId="4" borderId="5" xfId="2" applyNumberFormat="1" applyFont="1" applyFill="1" applyBorder="1" applyAlignment="1">
      <alignment horizontal="center" vertical="center" wrapText="1"/>
    </xf>
    <xf numFmtId="43" fontId="38" fillId="4" borderId="6" xfId="2" applyFont="1" applyFill="1" applyBorder="1" applyAlignment="1">
      <alignment horizontal="center" vertical="center" wrapText="1"/>
    </xf>
    <xf numFmtId="3" fontId="50" fillId="4" borderId="0" xfId="0" applyNumberFormat="1" applyFont="1" applyFill="1" applyAlignment="1">
      <alignment horizontal="center"/>
    </xf>
    <xf numFmtId="167" fontId="38" fillId="4" borderId="0" xfId="2" applyNumberFormat="1" applyFont="1" applyFill="1"/>
    <xf numFmtId="0" fontId="59" fillId="4" borderId="5" xfId="0" applyFont="1" applyFill="1" applyBorder="1" applyAlignment="1">
      <alignment vertical="center" wrapText="1"/>
    </xf>
    <xf numFmtId="0" fontId="48" fillId="4" borderId="0" xfId="0" applyFont="1" applyFill="1" applyAlignment="1">
      <alignment vertical="center" wrapText="1"/>
    </xf>
    <xf numFmtId="173" fontId="22" fillId="4" borderId="0" xfId="0" applyNumberFormat="1" applyFont="1" applyFill="1"/>
    <xf numFmtId="0" fontId="50" fillId="4" borderId="6" xfId="0" applyFont="1" applyFill="1" applyBorder="1" applyAlignment="1">
      <alignment horizontal="justify" vertical="center" wrapText="1"/>
    </xf>
    <xf numFmtId="0" fontId="50" fillId="4" borderId="0" xfId="0" applyFont="1" applyFill="1" applyAlignment="1">
      <alignment horizontal="center" vertical="center" wrapText="1"/>
    </xf>
    <xf numFmtId="0" fontId="50" fillId="4" borderId="4" xfId="0" applyFont="1" applyFill="1" applyBorder="1" applyAlignment="1">
      <alignment horizontal="center" vertical="center" wrapText="1"/>
    </xf>
    <xf numFmtId="167" fontId="45" fillId="4" borderId="0" xfId="2" applyNumberFormat="1" applyFont="1" applyFill="1"/>
    <xf numFmtId="167" fontId="48" fillId="4" borderId="0" xfId="2" applyNumberFormat="1" applyFont="1" applyFill="1" applyAlignment="1">
      <alignment vertical="center" wrapText="1"/>
    </xf>
    <xf numFmtId="0" fontId="54" fillId="4" borderId="5" xfId="0" applyFont="1" applyFill="1" applyBorder="1" applyAlignment="1">
      <alignment horizontal="center" vertical="center"/>
    </xf>
    <xf numFmtId="0" fontId="50" fillId="4" borderId="5" xfId="0" applyFont="1" applyFill="1" applyBorder="1" applyAlignment="1">
      <alignment horizontal="center" vertical="center"/>
    </xf>
    <xf numFmtId="167" fontId="50" fillId="4" borderId="5" xfId="2" applyNumberFormat="1" applyFont="1" applyFill="1" applyBorder="1" applyAlignment="1">
      <alignment horizontal="right" vertical="center"/>
    </xf>
    <xf numFmtId="0" fontId="45" fillId="4" borderId="0" xfId="0" applyFont="1" applyFill="1" applyAlignment="1">
      <alignment horizontal="center" vertical="center" wrapText="1"/>
    </xf>
    <xf numFmtId="0" fontId="7" fillId="4" borderId="5" xfId="0" applyFont="1" applyFill="1" applyBorder="1" applyAlignment="1">
      <alignment horizontal="center" vertical="center" wrapText="1"/>
    </xf>
    <xf numFmtId="0" fontId="7" fillId="4" borderId="5" xfId="0" applyFont="1" applyFill="1" applyBorder="1" applyAlignment="1">
      <alignment horizontal="left" vertical="center" wrapText="1"/>
    </xf>
    <xf numFmtId="0" fontId="49" fillId="4" borderId="0" xfId="0" applyFont="1" applyFill="1" applyAlignment="1">
      <alignment horizontal="center"/>
    </xf>
    <xf numFmtId="0" fontId="48" fillId="4" borderId="0" xfId="0" applyFont="1" applyFill="1" applyAlignment="1">
      <alignment horizontal="center" vertical="center" wrapText="1"/>
    </xf>
    <xf numFmtId="0" fontId="49" fillId="4" borderId="0" xfId="0" applyFont="1" applyFill="1" applyAlignment="1">
      <alignment horizontal="center" vertical="center" wrapText="1"/>
    </xf>
    <xf numFmtId="0" fontId="49" fillId="4" borderId="0" xfId="0" applyFont="1" applyFill="1" applyAlignment="1">
      <alignment vertical="center" wrapText="1"/>
    </xf>
    <xf numFmtId="0" fontId="87" fillId="4" borderId="5" xfId="0" applyFont="1" applyFill="1" applyBorder="1" applyAlignment="1">
      <alignment vertical="center" wrapText="1"/>
    </xf>
    <xf numFmtId="167" fontId="43" fillId="4" borderId="5" xfId="2" applyNumberFormat="1" applyFont="1" applyFill="1" applyBorder="1" applyAlignment="1">
      <alignment horizontal="justify" vertical="center" wrapText="1"/>
    </xf>
    <xf numFmtId="0" fontId="29" fillId="0" borderId="4" xfId="0" applyFont="1" applyBorder="1" applyAlignment="1">
      <alignment horizontal="center" vertical="center" wrapText="1"/>
    </xf>
    <xf numFmtId="0" fontId="29" fillId="0" borderId="4" xfId="0" applyFont="1" applyBorder="1" applyAlignment="1">
      <alignment vertical="center" wrapText="1"/>
    </xf>
    <xf numFmtId="0" fontId="29" fillId="0" borderId="5" xfId="0" applyFont="1" applyBorder="1" applyAlignment="1">
      <alignment horizontal="center" vertical="center" wrapText="1"/>
    </xf>
    <xf numFmtId="0" fontId="29" fillId="0" borderId="5" xfId="0" applyFont="1" applyBorder="1" applyAlignment="1">
      <alignment vertical="center" wrapText="1"/>
    </xf>
    <xf numFmtId="0" fontId="22" fillId="4" borderId="21" xfId="0" applyFont="1" applyFill="1" applyBorder="1" applyAlignment="1">
      <alignment horizontal="center" vertical="center" wrapText="1"/>
    </xf>
    <xf numFmtId="0" fontId="18" fillId="0" borderId="0" xfId="0" applyFont="1"/>
    <xf numFmtId="0" fontId="22" fillId="0" borderId="0" xfId="0" applyFont="1" applyAlignment="1">
      <alignment horizontal="right" vertical="center"/>
    </xf>
    <xf numFmtId="0" fontId="17" fillId="0" borderId="0" xfId="0" applyFont="1" applyAlignment="1">
      <alignment horizontal="centerContinuous" vertical="center" wrapText="1"/>
    </xf>
    <xf numFmtId="0" fontId="18" fillId="0" borderId="13" xfId="0" applyFont="1" applyBorder="1"/>
    <xf numFmtId="0" fontId="16" fillId="0" borderId="13" xfId="38" applyFont="1" applyBorder="1" applyAlignment="1">
      <alignment horizontal="right" vertical="center"/>
    </xf>
    <xf numFmtId="0" fontId="16" fillId="0" borderId="0" xfId="38" applyFont="1" applyAlignment="1">
      <alignment horizontal="right" vertical="center"/>
    </xf>
    <xf numFmtId="0" fontId="20" fillId="0" borderId="21" xfId="0" applyFont="1" applyBorder="1" applyAlignment="1">
      <alignment horizontal="center" vertical="center" wrapText="1"/>
    </xf>
    <xf numFmtId="0" fontId="20" fillId="0" borderId="21" xfId="38" applyFont="1" applyBorder="1" applyAlignment="1">
      <alignment horizontal="center" vertical="center" wrapText="1"/>
    </xf>
    <xf numFmtId="0" fontId="20" fillId="0" borderId="0" xfId="38" applyFont="1" applyAlignment="1">
      <alignment horizontal="center" vertical="center" wrapText="1"/>
    </xf>
    <xf numFmtId="0" fontId="19" fillId="0" borderId="0" xfId="0" applyFont="1"/>
    <xf numFmtId="3" fontId="54" fillId="0" borderId="0" xfId="0" applyNumberFormat="1" applyFont="1" applyAlignment="1">
      <alignment horizontal="right" vertical="center" wrapText="1"/>
    </xf>
    <xf numFmtId="3" fontId="19" fillId="0" borderId="0" xfId="0" applyNumberFormat="1" applyFont="1"/>
    <xf numFmtId="0" fontId="20" fillId="0" borderId="0" xfId="0" applyFont="1"/>
    <xf numFmtId="0" fontId="36" fillId="0" borderId="21" xfId="0" applyFont="1" applyBorder="1" applyAlignment="1">
      <alignment horizontal="center" vertical="center" wrapText="1"/>
    </xf>
    <xf numFmtId="190" fontId="19" fillId="0" borderId="0" xfId="2" applyNumberFormat="1" applyFont="1" applyBorder="1" applyAlignment="1">
      <alignment horizontal="right" vertical="center" wrapText="1"/>
    </xf>
    <xf numFmtId="190" fontId="50" fillId="0" borderId="0" xfId="2" applyNumberFormat="1" applyFont="1" applyBorder="1" applyAlignment="1">
      <alignment horizontal="right" vertical="center" wrapText="1"/>
    </xf>
    <xf numFmtId="190" fontId="19" fillId="0" borderId="0" xfId="0" applyNumberFormat="1" applyFont="1"/>
    <xf numFmtId="168" fontId="19" fillId="0" borderId="0" xfId="2" applyNumberFormat="1" applyFont="1" applyBorder="1" applyAlignment="1"/>
    <xf numFmtId="180" fontId="19" fillId="0" borderId="0" xfId="0" applyNumberFormat="1" applyFont="1"/>
    <xf numFmtId="3" fontId="18" fillId="0" borderId="0" xfId="0" applyNumberFormat="1" applyFont="1"/>
    <xf numFmtId="0" fontId="54" fillId="0" borderId="21" xfId="0" applyFont="1" applyBorder="1" applyAlignment="1">
      <alignment horizontal="center" vertical="center" wrapText="1"/>
    </xf>
    <xf numFmtId="0" fontId="54" fillId="0" borderId="0" xfId="0" applyFont="1" applyAlignment="1">
      <alignment horizontal="center" vertical="center" wrapText="1"/>
    </xf>
    <xf numFmtId="0" fontId="3" fillId="0" borderId="21" xfId="0" applyFont="1" applyBorder="1" applyAlignment="1">
      <alignment horizontal="center" vertical="center" wrapText="1"/>
    </xf>
    <xf numFmtId="0" fontId="3" fillId="0" borderId="21" xfId="0" applyFont="1" applyBorder="1" applyAlignment="1">
      <alignment vertical="center" wrapText="1"/>
    </xf>
    <xf numFmtId="168" fontId="3" fillId="3" borderId="21" xfId="2" applyNumberFormat="1" applyFont="1" applyFill="1" applyBorder="1" applyAlignment="1">
      <alignment horizontal="right" vertical="center" wrapText="1"/>
    </xf>
    <xf numFmtId="168" fontId="112" fillId="0" borderId="0" xfId="2" applyNumberFormat="1" applyFont="1" applyBorder="1" applyAlignment="1">
      <alignment horizontal="center"/>
    </xf>
    <xf numFmtId="0" fontId="112" fillId="0" borderId="0" xfId="0" applyFont="1" applyAlignment="1">
      <alignment horizontal="center"/>
    </xf>
    <xf numFmtId="49" fontId="112" fillId="0" borderId="21" xfId="0" applyNumberFormat="1" applyFont="1" applyBorder="1" applyAlignment="1">
      <alignment horizontal="center" vertical="center" wrapText="1"/>
    </xf>
    <xf numFmtId="0" fontId="112" fillId="3" borderId="21" xfId="0" applyFont="1" applyFill="1" applyBorder="1" applyAlignment="1">
      <alignment horizontal="left" vertical="center" wrapText="1"/>
    </xf>
    <xf numFmtId="49" fontId="112" fillId="0" borderId="21" xfId="0" applyNumberFormat="1" applyFont="1" applyBorder="1" applyAlignment="1">
      <alignment vertical="center" wrapText="1"/>
    </xf>
    <xf numFmtId="168" fontId="112" fillId="0" borderId="0" xfId="2" applyNumberFormat="1" applyFont="1" applyBorder="1"/>
    <xf numFmtId="0" fontId="112" fillId="0" borderId="0" xfId="0" applyFont="1"/>
    <xf numFmtId="0" fontId="112" fillId="0" borderId="21" xfId="0" applyFont="1" applyBorder="1" applyAlignment="1">
      <alignment horizontal="left" vertical="center" wrapText="1"/>
    </xf>
    <xf numFmtId="0" fontId="112" fillId="0" borderId="21" xfId="0" applyFont="1" applyBorder="1" applyAlignment="1">
      <alignment horizontal="center" vertical="center" wrapText="1"/>
    </xf>
    <xf numFmtId="49" fontId="3" fillId="0" borderId="21" xfId="0" applyNumberFormat="1" applyFont="1" applyBorder="1" applyAlignment="1">
      <alignment horizontal="center" vertical="center" wrapText="1"/>
    </xf>
    <xf numFmtId="49" fontId="3" fillId="0" borderId="21" xfId="0" applyNumberFormat="1" applyFont="1" applyBorder="1" applyAlignment="1">
      <alignment vertical="center" wrapText="1"/>
    </xf>
    <xf numFmtId="0" fontId="3" fillId="0" borderId="21" xfId="0" applyFont="1" applyBorder="1" applyAlignment="1">
      <alignment horizontal="left" vertical="center" wrapText="1"/>
    </xf>
    <xf numFmtId="181" fontId="112" fillId="0" borderId="0" xfId="0" applyNumberFormat="1" applyFont="1"/>
    <xf numFmtId="49" fontId="3" fillId="0" borderId="7" xfId="0" applyNumberFormat="1" applyFont="1" applyBorder="1" applyAlignment="1">
      <alignment horizontal="center" vertical="center" wrapText="1"/>
    </xf>
    <xf numFmtId="3" fontId="9" fillId="4" borderId="7" xfId="0" applyNumberFormat="1" applyFont="1" applyFill="1" applyBorder="1" applyAlignment="1">
      <alignment vertical="center" wrapText="1"/>
    </xf>
    <xf numFmtId="49" fontId="112" fillId="0" borderId="7" xfId="0" applyNumberFormat="1" applyFont="1" applyBorder="1" applyAlignment="1">
      <alignment vertical="center" wrapText="1"/>
    </xf>
    <xf numFmtId="168" fontId="112" fillId="3" borderId="7" xfId="2" applyNumberFormat="1" applyFont="1" applyFill="1" applyBorder="1" applyAlignment="1">
      <alignment horizontal="right" vertical="center" wrapText="1"/>
    </xf>
    <xf numFmtId="49" fontId="112" fillId="0" borderId="5" xfId="0" applyNumberFormat="1" applyFont="1" applyBorder="1" applyAlignment="1">
      <alignment horizontal="center" vertical="center" wrapText="1"/>
    </xf>
    <xf numFmtId="3" fontId="7" fillId="4" borderId="5" xfId="0" applyNumberFormat="1" applyFont="1" applyFill="1" applyBorder="1" applyAlignment="1">
      <alignment vertical="center" wrapText="1"/>
    </xf>
    <xf numFmtId="168" fontId="112" fillId="3" borderId="0" xfId="2" applyNumberFormat="1" applyFont="1" applyFill="1" applyBorder="1" applyAlignment="1">
      <alignment horizontal="right" vertical="center" wrapText="1"/>
    </xf>
    <xf numFmtId="49" fontId="3" fillId="0" borderId="5" xfId="0" applyNumberFormat="1" applyFont="1" applyBorder="1" applyAlignment="1">
      <alignment horizontal="center" vertical="center" wrapText="1"/>
    </xf>
    <xf numFmtId="49" fontId="3" fillId="0" borderId="5" xfId="0" applyNumberFormat="1" applyFont="1" applyBorder="1" applyAlignment="1">
      <alignment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168" fontId="3" fillId="3" borderId="5" xfId="2" applyNumberFormat="1" applyFont="1" applyFill="1" applyBorder="1" applyAlignment="1">
      <alignment horizontal="right" vertical="center" wrapText="1"/>
    </xf>
    <xf numFmtId="168" fontId="3" fillId="3" borderId="0" xfId="2" applyNumberFormat="1" applyFont="1" applyFill="1" applyBorder="1" applyAlignment="1">
      <alignment horizontal="right" vertical="center" wrapText="1"/>
    </xf>
    <xf numFmtId="168" fontId="7" fillId="4" borderId="0" xfId="2" applyNumberFormat="1" applyFont="1" applyFill="1" applyBorder="1" applyAlignment="1">
      <alignment horizontal="right" vertical="center" wrapText="1"/>
    </xf>
    <xf numFmtId="3" fontId="7" fillId="4" borderId="5" xfId="0" applyNumberFormat="1" applyFont="1" applyFill="1" applyBorder="1" applyAlignment="1">
      <alignment horizontal="left" vertical="center" wrapText="1"/>
    </xf>
    <xf numFmtId="0" fontId="61" fillId="4" borderId="5" xfId="0" applyFont="1" applyFill="1" applyBorder="1" applyAlignment="1">
      <alignment horizontal="justify" vertical="center" wrapText="1"/>
    </xf>
    <xf numFmtId="49" fontId="112" fillId="0" borderId="5" xfId="0" applyNumberFormat="1" applyFont="1" applyBorder="1" applyAlignment="1">
      <alignment vertical="center" wrapText="1"/>
    </xf>
    <xf numFmtId="0" fontId="93" fillId="4" borderId="5" xfId="0" applyFont="1" applyFill="1" applyBorder="1" applyAlignment="1">
      <alignment horizontal="justify" vertical="center" wrapText="1"/>
    </xf>
    <xf numFmtId="0" fontId="112" fillId="0" borderId="5" xfId="0" applyFont="1" applyBorder="1" applyAlignment="1">
      <alignment vertical="center"/>
    </xf>
    <xf numFmtId="178" fontId="112" fillId="0" borderId="0" xfId="0" applyNumberFormat="1" applyFont="1" applyAlignment="1">
      <alignment vertical="center"/>
    </xf>
    <xf numFmtId="0" fontId="17" fillId="0" borderId="5" xfId="0" applyFont="1" applyBorder="1" applyAlignment="1">
      <alignment horizontal="center" vertical="center" wrapText="1"/>
    </xf>
    <xf numFmtId="0" fontId="29" fillId="0" borderId="5" xfId="0" applyFont="1" applyBorder="1" applyAlignment="1">
      <alignment horizontal="left" vertical="center" wrapText="1"/>
    </xf>
    <xf numFmtId="185" fontId="17" fillId="0" borderId="0" xfId="2" applyNumberFormat="1" applyFont="1" applyBorder="1" applyAlignment="1">
      <alignment vertical="center"/>
    </xf>
    <xf numFmtId="185" fontId="17" fillId="0" borderId="0" xfId="2" applyNumberFormat="1" applyFont="1" applyBorder="1"/>
    <xf numFmtId="168" fontId="17" fillId="0" borderId="0" xfId="0" applyNumberFormat="1" applyFont="1"/>
    <xf numFmtId="0" fontId="17" fillId="0" borderId="0" xfId="0" applyFont="1"/>
    <xf numFmtId="0" fontId="112" fillId="0" borderId="5" xfId="0" applyFont="1" applyBorder="1" applyAlignment="1">
      <alignment horizontal="center" vertical="center" wrapText="1"/>
    </xf>
    <xf numFmtId="0" fontId="120" fillId="0" borderId="5" xfId="0" applyFont="1" applyBorder="1" applyAlignment="1">
      <alignment horizontal="left" vertical="center" wrapText="1"/>
    </xf>
    <xf numFmtId="185" fontId="112" fillId="0" borderId="0" xfId="2" applyNumberFormat="1" applyFont="1" applyBorder="1" applyAlignment="1">
      <alignment vertical="center"/>
    </xf>
    <xf numFmtId="185" fontId="112" fillId="0" borderId="0" xfId="2" applyNumberFormat="1" applyFont="1" applyBorder="1"/>
    <xf numFmtId="0" fontId="112" fillId="0" borderId="10" xfId="0" applyFont="1" applyBorder="1" applyAlignment="1">
      <alignment horizontal="center" vertical="center" wrapText="1"/>
    </xf>
    <xf numFmtId="0" fontId="120" fillId="0" borderId="10" xfId="0" applyFont="1" applyBorder="1" applyAlignment="1">
      <alignment horizontal="left" vertical="center" wrapText="1"/>
    </xf>
    <xf numFmtId="0" fontId="112" fillId="0" borderId="6" xfId="0" applyFont="1" applyBorder="1" applyAlignment="1">
      <alignment horizontal="center" vertical="center" wrapText="1"/>
    </xf>
    <xf numFmtId="0" fontId="120" fillId="0" borderId="6" xfId="0" applyFont="1" applyBorder="1" applyAlignment="1">
      <alignment horizontal="left" vertical="center" wrapText="1"/>
    </xf>
    <xf numFmtId="185" fontId="19" fillId="0" borderId="0" xfId="2" applyNumberFormat="1" applyFont="1" applyBorder="1"/>
    <xf numFmtId="185" fontId="18" fillId="0" borderId="0" xfId="2" applyNumberFormat="1" applyFont="1" applyBorder="1"/>
    <xf numFmtId="0" fontId="3" fillId="0" borderId="0" xfId="0" applyFont="1" applyAlignment="1">
      <alignment horizontal="right" vertical="center"/>
    </xf>
    <xf numFmtId="168" fontId="18" fillId="0" borderId="0" xfId="2" applyNumberFormat="1" applyFont="1"/>
    <xf numFmtId="0" fontId="35" fillId="0" borderId="0" xfId="38" applyFont="1" applyAlignment="1">
      <alignment horizontal="right" vertical="center"/>
    </xf>
    <xf numFmtId="168" fontId="20" fillId="0" borderId="0" xfId="2" applyNumberFormat="1" applyFont="1" applyBorder="1" applyAlignment="1"/>
    <xf numFmtId="0" fontId="20" fillId="0" borderId="4" xfId="0" applyFont="1" applyBorder="1" applyAlignment="1">
      <alignment horizontal="center" vertical="center" wrapText="1"/>
    </xf>
    <xf numFmtId="0" fontId="20" fillId="0" borderId="4" xfId="0" applyFont="1" applyBorder="1" applyAlignment="1">
      <alignment vertical="center" wrapText="1"/>
    </xf>
    <xf numFmtId="0" fontId="30" fillId="0" borderId="4" xfId="0" applyFont="1" applyBorder="1" applyAlignment="1">
      <alignment vertical="center" wrapText="1"/>
    </xf>
    <xf numFmtId="177" fontId="20" fillId="0" borderId="4" xfId="0" applyNumberFormat="1" applyFont="1" applyBorder="1" applyAlignment="1">
      <alignment horizontal="right" vertical="center" wrapText="1"/>
    </xf>
    <xf numFmtId="0" fontId="36" fillId="0" borderId="5" xfId="0" applyFont="1" applyBorder="1" applyAlignment="1">
      <alignment vertical="center" wrapText="1"/>
    </xf>
    <xf numFmtId="168" fontId="20" fillId="5" borderId="0" xfId="2" applyNumberFormat="1" applyFont="1" applyFill="1" applyBorder="1" applyAlignment="1"/>
    <xf numFmtId="170" fontId="50" fillId="0" borderId="0" xfId="2" applyNumberFormat="1" applyFont="1" applyBorder="1" applyAlignment="1"/>
    <xf numFmtId="43" fontId="19" fillId="0" borderId="0" xfId="2" applyFont="1" applyBorder="1" applyAlignment="1"/>
    <xf numFmtId="0" fontId="20" fillId="0" borderId="5" xfId="0" applyFont="1" applyBorder="1" applyAlignment="1">
      <alignment horizontal="center" vertical="center" wrapText="1"/>
    </xf>
    <xf numFmtId="0" fontId="20" fillId="0" borderId="5" xfId="0" applyFont="1" applyBorder="1" applyAlignment="1">
      <alignment vertical="center" wrapText="1"/>
    </xf>
    <xf numFmtId="0" fontId="30" fillId="0" borderId="5" xfId="0" applyFont="1" applyBorder="1" applyAlignment="1">
      <alignment vertical="center" wrapText="1"/>
    </xf>
    <xf numFmtId="177" fontId="20" fillId="0" borderId="5" xfId="2" applyNumberFormat="1" applyFont="1" applyBorder="1" applyAlignment="1">
      <alignment horizontal="right" vertical="center" wrapText="1"/>
    </xf>
    <xf numFmtId="177" fontId="20" fillId="5" borderId="5" xfId="2" applyNumberFormat="1" applyFont="1" applyFill="1" applyBorder="1" applyAlignment="1">
      <alignment horizontal="right" vertical="center" wrapText="1"/>
    </xf>
    <xf numFmtId="0" fontId="19" fillId="0" borderId="5" xfId="0" applyFont="1" applyBorder="1" applyAlignment="1">
      <alignment horizontal="center" vertical="center" wrapText="1"/>
    </xf>
    <xf numFmtId="168" fontId="19" fillId="0" borderId="0" xfId="2" applyNumberFormat="1" applyFont="1"/>
    <xf numFmtId="170" fontId="50" fillId="0" borderId="0" xfId="2" applyNumberFormat="1" applyFont="1"/>
    <xf numFmtId="170" fontId="19" fillId="0" borderId="0" xfId="0" applyNumberFormat="1" applyFont="1"/>
    <xf numFmtId="0" fontId="36" fillId="0" borderId="5" xfId="0" applyFont="1" applyBorder="1" applyAlignment="1">
      <alignment horizontal="justify" vertical="center" wrapText="1"/>
    </xf>
    <xf numFmtId="0" fontId="54" fillId="0" borderId="5" xfId="0" applyFont="1" applyBorder="1" applyAlignment="1">
      <alignment horizontal="center" vertical="center" wrapText="1"/>
    </xf>
    <xf numFmtId="0" fontId="20" fillId="4" borderId="5" xfId="0" applyFont="1" applyFill="1" applyBorder="1" applyAlignment="1">
      <alignment vertical="center" wrapText="1"/>
    </xf>
    <xf numFmtId="0" fontId="122" fillId="4" borderId="10" xfId="0" applyFont="1" applyFill="1" applyBorder="1" applyAlignment="1">
      <alignment vertical="center" wrapText="1"/>
    </xf>
    <xf numFmtId="174" fontId="20" fillId="4" borderId="5" xfId="2" applyNumberFormat="1" applyFont="1" applyFill="1" applyBorder="1" applyAlignment="1">
      <alignment horizontal="right" vertical="center" wrapText="1"/>
    </xf>
    <xf numFmtId="168" fontId="54" fillId="5" borderId="0" xfId="2" applyNumberFormat="1" applyFont="1" applyFill="1" applyBorder="1" applyAlignment="1"/>
    <xf numFmtId="174" fontId="19" fillId="0" borderId="0" xfId="0" applyNumberFormat="1" applyFont="1"/>
    <xf numFmtId="0" fontId="50" fillId="0" borderId="5" xfId="0" applyFont="1" applyBorder="1" applyAlignment="1">
      <alignment horizontal="center" vertical="center" wrapText="1"/>
    </xf>
    <xf numFmtId="174" fontId="50" fillId="4" borderId="5" xfId="2" applyNumberFormat="1" applyFont="1" applyFill="1" applyBorder="1" applyAlignment="1">
      <alignment horizontal="right" vertical="center" wrapText="1"/>
    </xf>
    <xf numFmtId="168" fontId="50" fillId="5" borderId="0" xfId="2" applyNumberFormat="1" applyFont="1" applyFill="1" applyBorder="1" applyAlignment="1"/>
    <xf numFmtId="0" fontId="20" fillId="0" borderId="5" xfId="0" applyFont="1" applyBorder="1" applyAlignment="1">
      <alignment horizontal="left" vertical="center" wrapText="1"/>
    </xf>
    <xf numFmtId="168" fontId="20" fillId="0" borderId="5" xfId="2" applyNumberFormat="1" applyFont="1" applyBorder="1" applyAlignment="1">
      <alignment horizontal="right" vertical="center" wrapText="1"/>
    </xf>
    <xf numFmtId="0" fontId="19" fillId="0" borderId="0" xfId="0" applyFont="1" applyAlignment="1">
      <alignment horizontal="center"/>
    </xf>
    <xf numFmtId="0" fontId="19" fillId="4" borderId="5" xfId="0" applyFont="1" applyFill="1" applyBorder="1" applyAlignment="1">
      <alignment vertical="center" wrapText="1"/>
    </xf>
    <xf numFmtId="0" fontId="122" fillId="4" borderId="10" xfId="0" applyFont="1" applyFill="1" applyBorder="1" applyAlignment="1">
      <alignment horizontal="justify" wrapText="1"/>
    </xf>
    <xf numFmtId="177" fontId="19" fillId="0" borderId="0" xfId="0" applyNumberFormat="1" applyFont="1"/>
    <xf numFmtId="49" fontId="19" fillId="0" borderId="5" xfId="0" applyNumberFormat="1" applyFont="1" applyBorder="1" applyAlignment="1">
      <alignment horizontal="center" vertical="center" wrapText="1"/>
    </xf>
    <xf numFmtId="168" fontId="50" fillId="0" borderId="0" xfId="2" applyNumberFormat="1" applyFont="1" applyBorder="1"/>
    <xf numFmtId="177" fontId="20" fillId="0" borderId="0" xfId="0" applyNumberFormat="1" applyFont="1"/>
    <xf numFmtId="168" fontId="19" fillId="0" borderId="0" xfId="2" applyNumberFormat="1" applyFont="1" applyBorder="1"/>
    <xf numFmtId="0" fontId="30" fillId="0" borderId="4" xfId="0" applyFont="1" applyBorder="1" applyAlignment="1">
      <alignment horizontal="left" vertical="center" wrapText="1"/>
    </xf>
    <xf numFmtId="168" fontId="18" fillId="0" borderId="0" xfId="2" applyNumberFormat="1" applyFont="1" applyBorder="1"/>
    <xf numFmtId="0" fontId="36" fillId="0" borderId="5" xfId="0" applyFont="1" applyBorder="1" applyAlignment="1">
      <alignment horizontal="left" vertical="center" wrapText="1"/>
    </xf>
    <xf numFmtId="168" fontId="18" fillId="0" borderId="0" xfId="0" applyNumberFormat="1" applyFont="1"/>
    <xf numFmtId="0" fontId="36" fillId="0" borderId="5" xfId="0" applyFont="1" applyBorder="1" applyAlignment="1">
      <alignment horizontal="center" vertical="center" wrapText="1"/>
    </xf>
    <xf numFmtId="0" fontId="36" fillId="0" borderId="10" xfId="0" applyFont="1" applyBorder="1" applyAlignment="1">
      <alignment horizontal="left" vertical="center" wrapText="1"/>
    </xf>
    <xf numFmtId="0" fontId="36" fillId="0" borderId="10" xfId="0" applyFont="1" applyBorder="1" applyAlignment="1">
      <alignment horizontal="center" vertical="center" wrapText="1"/>
    </xf>
    <xf numFmtId="0" fontId="36" fillId="0" borderId="6" xfId="0" applyFont="1" applyBorder="1" applyAlignment="1">
      <alignment horizontal="left" vertical="center" wrapText="1"/>
    </xf>
    <xf numFmtId="0" fontId="36" fillId="0" borderId="6" xfId="0" applyFont="1" applyBorder="1" applyAlignment="1">
      <alignment horizontal="center" vertical="center" wrapText="1"/>
    </xf>
    <xf numFmtId="0" fontId="3" fillId="4" borderId="0" xfId="0" applyFont="1" applyFill="1" applyAlignment="1">
      <alignment horizontal="center"/>
    </xf>
    <xf numFmtId="0" fontId="53" fillId="4" borderId="0" xfId="0" applyFont="1" applyFill="1" applyAlignment="1">
      <alignment horizontal="right"/>
    </xf>
    <xf numFmtId="0" fontId="22" fillId="4" borderId="0" xfId="0" applyFont="1" applyFill="1" applyAlignment="1">
      <alignment horizontal="right" vertical="center"/>
    </xf>
    <xf numFmtId="0" fontId="53" fillId="4" borderId="0" xfId="0" applyFont="1" applyFill="1" applyAlignment="1">
      <alignment horizontal="center"/>
    </xf>
    <xf numFmtId="3" fontId="7" fillId="4" borderId="0" xfId="0" applyNumberFormat="1" applyFont="1" applyFill="1"/>
    <xf numFmtId="3" fontId="3" fillId="4" borderId="0" xfId="0" applyNumberFormat="1" applyFont="1" applyFill="1" applyAlignment="1">
      <alignment horizontal="right"/>
    </xf>
    <xf numFmtId="3" fontId="7" fillId="4" borderId="0" xfId="0" applyNumberFormat="1" applyFont="1" applyFill="1" applyAlignment="1">
      <alignment horizontal="right"/>
    </xf>
    <xf numFmtId="0" fontId="72" fillId="4" borderId="0" xfId="38" applyFont="1" applyFill="1" applyAlignment="1">
      <alignment horizontal="right" vertical="center"/>
    </xf>
    <xf numFmtId="0" fontId="22" fillId="4" borderId="25" xfId="0" applyFont="1" applyFill="1" applyBorder="1" applyAlignment="1">
      <alignment horizontal="center" vertical="center" wrapText="1"/>
    </xf>
    <xf numFmtId="3" fontId="22" fillId="4" borderId="25" xfId="0" applyNumberFormat="1" applyFont="1" applyFill="1" applyBorder="1" applyAlignment="1">
      <alignment horizontal="center" vertical="center" wrapText="1"/>
    </xf>
    <xf numFmtId="3" fontId="22" fillId="4" borderId="21" xfId="0" applyNumberFormat="1" applyFont="1" applyFill="1" applyBorder="1" applyAlignment="1">
      <alignment horizontal="center" vertical="center" wrapText="1"/>
    </xf>
    <xf numFmtId="3" fontId="22" fillId="4" borderId="21" xfId="0" applyNumberFormat="1" applyFont="1" applyFill="1" applyBorder="1" applyAlignment="1">
      <alignment horizontal="right" vertical="center" wrapText="1"/>
    </xf>
    <xf numFmtId="0" fontId="46" fillId="4" borderId="21" xfId="0" applyFont="1" applyFill="1" applyBorder="1" applyAlignment="1">
      <alignment horizontal="center" vertical="center" wrapText="1"/>
    </xf>
    <xf numFmtId="14" fontId="46" fillId="4" borderId="21" xfId="0" applyNumberFormat="1" applyFont="1" applyFill="1" applyBorder="1" applyAlignment="1">
      <alignment horizontal="right" vertical="center" wrapText="1"/>
    </xf>
    <xf numFmtId="170" fontId="46" fillId="4" borderId="21" xfId="0" applyNumberFormat="1" applyFont="1" applyFill="1" applyBorder="1" applyAlignment="1">
      <alignment horizontal="right" vertical="center" wrapText="1"/>
    </xf>
    <xf numFmtId="170" fontId="46" fillId="4" borderId="21" xfId="0" applyNumberFormat="1" applyFont="1" applyFill="1" applyBorder="1" applyAlignment="1">
      <alignment horizontal="center" vertical="center" wrapText="1"/>
    </xf>
    <xf numFmtId="170" fontId="46" fillId="4" borderId="21" xfId="0" applyNumberFormat="1" applyFont="1" applyFill="1" applyBorder="1" applyAlignment="1">
      <alignment horizontal="left" vertical="center" wrapText="1"/>
    </xf>
    <xf numFmtId="3" fontId="53" fillId="4" borderId="5" xfId="0" applyNumberFormat="1" applyFont="1" applyFill="1" applyBorder="1" applyAlignment="1">
      <alignment horizontal="right" vertical="center" wrapText="1"/>
    </xf>
    <xf numFmtId="0" fontId="46" fillId="4" borderId="5" xfId="0" applyFont="1" applyFill="1" applyBorder="1" applyAlignment="1">
      <alignment horizontal="center" vertical="center" wrapText="1"/>
    </xf>
    <xf numFmtId="0" fontId="46" fillId="4" borderId="5" xfId="0" applyFont="1" applyFill="1" applyBorder="1" applyAlignment="1">
      <alignment vertical="center"/>
    </xf>
    <xf numFmtId="167" fontId="53" fillId="4" borderId="5" xfId="2" applyNumberFormat="1" applyFont="1" applyFill="1" applyBorder="1" applyAlignment="1">
      <alignment horizontal="justify" vertical="center" wrapText="1"/>
    </xf>
    <xf numFmtId="170" fontId="46" fillId="4" borderId="5" xfId="0" applyNumberFormat="1" applyFont="1" applyFill="1" applyBorder="1" applyAlignment="1">
      <alignment horizontal="center" vertical="center" wrapText="1"/>
    </xf>
    <xf numFmtId="170" fontId="43" fillId="4" borderId="5" xfId="0" applyNumberFormat="1" applyFont="1" applyFill="1" applyBorder="1" applyAlignment="1">
      <alignment horizontal="right" vertical="center" wrapText="1"/>
    </xf>
    <xf numFmtId="0" fontId="43" fillId="4" borderId="5" xfId="0" applyFont="1" applyFill="1" applyBorder="1" applyAlignment="1">
      <alignment horizontal="justify" vertical="center" wrapText="1"/>
    </xf>
    <xf numFmtId="14" fontId="43" fillId="4" borderId="5" xfId="0" applyNumberFormat="1" applyFont="1" applyFill="1" applyBorder="1" applyAlignment="1">
      <alignment horizontal="center" vertical="center" wrapText="1"/>
    </xf>
    <xf numFmtId="170" fontId="43" fillId="4" borderId="5" xfId="0" applyNumberFormat="1" applyFont="1" applyFill="1" applyBorder="1" applyAlignment="1">
      <alignment horizontal="justify" vertical="center" wrapText="1"/>
    </xf>
    <xf numFmtId="3" fontId="53" fillId="4" borderId="18" xfId="0" applyNumberFormat="1" applyFont="1" applyFill="1" applyBorder="1" applyAlignment="1">
      <alignment horizontal="right" vertical="center" wrapText="1"/>
    </xf>
    <xf numFmtId="170" fontId="46" fillId="4" borderId="5" xfId="0" applyNumberFormat="1" applyFont="1" applyFill="1" applyBorder="1" applyAlignment="1">
      <alignment horizontal="left" vertical="center" wrapText="1"/>
    </xf>
    <xf numFmtId="3" fontId="72" fillId="4" borderId="18" xfId="0" applyNumberFormat="1" applyFont="1" applyFill="1" applyBorder="1" applyAlignment="1">
      <alignment horizontal="right" vertical="center" wrapText="1"/>
    </xf>
    <xf numFmtId="0" fontId="91" fillId="4" borderId="5" xfId="0" applyFont="1" applyFill="1" applyBorder="1" applyAlignment="1">
      <alignment horizontal="center" vertical="center" wrapText="1"/>
    </xf>
    <xf numFmtId="0" fontId="91" fillId="4" borderId="5" xfId="0" applyFont="1" applyFill="1" applyBorder="1" applyAlignment="1">
      <alignment vertical="center"/>
    </xf>
    <xf numFmtId="0" fontId="123" fillId="4" borderId="5" xfId="0" applyFont="1" applyFill="1" applyBorder="1" applyAlignment="1">
      <alignment horizontal="justify" vertical="center" wrapText="1"/>
    </xf>
    <xf numFmtId="167" fontId="123" fillId="4" borderId="5" xfId="2" applyNumberFormat="1" applyFont="1" applyFill="1" applyBorder="1" applyAlignment="1">
      <alignment horizontal="justify" vertical="center" wrapText="1"/>
    </xf>
    <xf numFmtId="14" fontId="123" fillId="4" borderId="5" xfId="0" applyNumberFormat="1" applyFont="1" applyFill="1" applyBorder="1" applyAlignment="1">
      <alignment horizontal="center" vertical="center" wrapText="1"/>
    </xf>
    <xf numFmtId="170" fontId="123" fillId="4" borderId="5" xfId="0" applyNumberFormat="1" applyFont="1" applyFill="1" applyBorder="1" applyAlignment="1">
      <alignment horizontal="left" vertical="center" wrapText="1"/>
    </xf>
    <xf numFmtId="170" fontId="123" fillId="4" borderId="5" xfId="0" applyNumberFormat="1" applyFont="1" applyFill="1" applyBorder="1" applyAlignment="1">
      <alignment horizontal="right" vertical="center" wrapText="1"/>
    </xf>
    <xf numFmtId="3" fontId="72" fillId="4" borderId="5" xfId="0" applyNumberFormat="1" applyFont="1" applyFill="1" applyBorder="1" applyAlignment="1">
      <alignment horizontal="right" vertical="center" wrapText="1"/>
    </xf>
    <xf numFmtId="170" fontId="43" fillId="4" borderId="5" xfId="0" applyNumberFormat="1" applyFont="1" applyFill="1" applyBorder="1" applyAlignment="1">
      <alignment horizontal="left" vertical="center" wrapText="1"/>
    </xf>
    <xf numFmtId="167" fontId="54" fillId="4" borderId="0" xfId="0" applyNumberFormat="1" applyFont="1" applyFill="1"/>
    <xf numFmtId="3" fontId="50" fillId="4" borderId="0" xfId="0" applyNumberFormat="1" applyFont="1" applyFill="1"/>
    <xf numFmtId="14" fontId="45" fillId="4" borderId="5" xfId="0" applyNumberFormat="1" applyFont="1" applyFill="1" applyBorder="1" applyAlignment="1">
      <alignment horizontal="center" vertical="center" wrapText="1"/>
    </xf>
    <xf numFmtId="167" fontId="50" fillId="4" borderId="5" xfId="2" applyNumberFormat="1" applyFont="1" applyFill="1" applyBorder="1" applyAlignment="1">
      <alignment horizontal="right" vertical="center" wrapText="1"/>
    </xf>
    <xf numFmtId="3" fontId="50" fillId="4" borderId="5" xfId="0" applyNumberFormat="1" applyFont="1" applyFill="1" applyBorder="1" applyAlignment="1">
      <alignment horizontal="right" vertical="center" wrapText="1"/>
    </xf>
    <xf numFmtId="0" fontId="50" fillId="4" borderId="5" xfId="0" applyFont="1" applyFill="1" applyBorder="1" applyAlignment="1">
      <alignment horizontal="right" vertical="center"/>
    </xf>
    <xf numFmtId="49" fontId="45" fillId="4" borderId="5" xfId="0" applyNumberFormat="1" applyFont="1" applyFill="1" applyBorder="1" applyAlignment="1">
      <alignment horizontal="center" vertical="center" wrapText="1"/>
    </xf>
    <xf numFmtId="170" fontId="45" fillId="4" borderId="5" xfId="2" applyNumberFormat="1" applyFont="1" applyFill="1" applyBorder="1" applyAlignment="1">
      <alignment horizontal="right" vertical="center" wrapText="1"/>
    </xf>
    <xf numFmtId="0" fontId="45" fillId="4" borderId="5" xfId="0" applyFont="1" applyFill="1" applyBorder="1" applyAlignment="1">
      <alignment horizontal="center" vertical="center"/>
    </xf>
    <xf numFmtId="14" fontId="45" fillId="4" borderId="5" xfId="0" applyNumberFormat="1" applyFont="1" applyFill="1" applyBorder="1" applyAlignment="1">
      <alignment horizontal="center" vertical="center"/>
    </xf>
    <xf numFmtId="0" fontId="50" fillId="4" borderId="5" xfId="0" applyFont="1" applyFill="1" applyBorder="1" applyAlignment="1">
      <alignment vertical="center"/>
    </xf>
    <xf numFmtId="0" fontId="70" fillId="4" borderId="5" xfId="0" applyFont="1" applyFill="1" applyBorder="1" applyAlignment="1">
      <alignment horizontal="justify" vertical="center" wrapText="1"/>
    </xf>
    <xf numFmtId="167" fontId="70" fillId="4" borderId="5" xfId="2" applyNumberFormat="1" applyFont="1" applyFill="1" applyBorder="1" applyAlignment="1">
      <alignment horizontal="right" vertical="center"/>
    </xf>
    <xf numFmtId="0" fontId="95" fillId="4" borderId="5" xfId="0" applyFont="1" applyFill="1" applyBorder="1" applyAlignment="1">
      <alignment horizontal="center" vertical="center"/>
    </xf>
    <xf numFmtId="14" fontId="95" fillId="4" borderId="5" xfId="0" applyNumberFormat="1" applyFont="1" applyFill="1" applyBorder="1" applyAlignment="1">
      <alignment horizontal="center" vertical="center"/>
    </xf>
    <xf numFmtId="0" fontId="95" fillId="4" borderId="5" xfId="0" applyFont="1" applyFill="1" applyBorder="1" applyAlignment="1">
      <alignment horizontal="justify" vertical="center" wrapText="1"/>
    </xf>
    <xf numFmtId="170" fontId="95" fillId="4" borderId="5" xfId="2" applyNumberFormat="1" applyFont="1" applyFill="1" applyBorder="1" applyAlignment="1">
      <alignment horizontal="right" vertical="center" wrapText="1"/>
    </xf>
    <xf numFmtId="14" fontId="95" fillId="4" borderId="5" xfId="0" applyNumberFormat="1" applyFont="1" applyFill="1" applyBorder="1" applyAlignment="1">
      <alignment horizontal="center" vertical="center" wrapText="1"/>
    </xf>
    <xf numFmtId="14" fontId="50" fillId="4" borderId="5" xfId="0" applyNumberFormat="1" applyFont="1" applyFill="1" applyBorder="1" applyAlignment="1">
      <alignment horizontal="center" vertical="center" wrapText="1"/>
    </xf>
    <xf numFmtId="3" fontId="70" fillId="4" borderId="5" xfId="0" applyNumberFormat="1" applyFont="1" applyFill="1" applyBorder="1" applyAlignment="1">
      <alignment horizontal="right" vertical="center" wrapText="1"/>
    </xf>
    <xf numFmtId="0" fontId="70" fillId="4" borderId="0" xfId="0" applyFont="1" applyFill="1"/>
    <xf numFmtId="0" fontId="70" fillId="4" borderId="5" xfId="0" applyFont="1" applyFill="1" applyBorder="1" applyAlignment="1">
      <alignment horizontal="center" vertical="center" wrapText="1"/>
    </xf>
    <xf numFmtId="14" fontId="70" fillId="4" borderId="5" xfId="0" applyNumberFormat="1" applyFont="1" applyFill="1" applyBorder="1" applyAlignment="1">
      <alignment horizontal="center" vertical="center" wrapText="1"/>
    </xf>
    <xf numFmtId="14" fontId="50" fillId="4" borderId="5" xfId="0" applyNumberFormat="1" applyFont="1" applyFill="1" applyBorder="1" applyAlignment="1">
      <alignment horizontal="center" vertical="center"/>
    </xf>
    <xf numFmtId="0" fontId="70" fillId="4" borderId="5" xfId="0" applyFont="1" applyFill="1" applyBorder="1" applyAlignment="1">
      <alignment horizontal="center" vertical="center"/>
    </xf>
    <xf numFmtId="0" fontId="70" fillId="4" borderId="5" xfId="0" applyFont="1" applyFill="1" applyBorder="1" applyAlignment="1">
      <alignment vertical="center"/>
    </xf>
    <xf numFmtId="3" fontId="70" fillId="4" borderId="5" xfId="0" applyNumberFormat="1" applyFont="1" applyFill="1" applyBorder="1" applyAlignment="1">
      <alignment horizontal="right" vertical="center"/>
    </xf>
    <xf numFmtId="14" fontId="70" fillId="4" borderId="5" xfId="0" applyNumberFormat="1" applyFont="1" applyFill="1" applyBorder="1" applyAlignment="1">
      <alignment horizontal="center" vertical="center"/>
    </xf>
    <xf numFmtId="170" fontId="70" fillId="4" borderId="5" xfId="2" applyNumberFormat="1" applyFont="1" applyFill="1" applyBorder="1" applyAlignment="1">
      <alignment horizontal="right" vertical="center"/>
    </xf>
    <xf numFmtId="170" fontId="70" fillId="4" borderId="5" xfId="0" applyNumberFormat="1" applyFont="1" applyFill="1" applyBorder="1" applyAlignment="1">
      <alignment horizontal="right" vertical="center"/>
    </xf>
    <xf numFmtId="167" fontId="70" fillId="4" borderId="5" xfId="0" applyNumberFormat="1" applyFont="1" applyFill="1" applyBorder="1" applyAlignment="1">
      <alignment horizontal="right" vertical="center"/>
    </xf>
    <xf numFmtId="0" fontId="70" fillId="4" borderId="5" xfId="0" applyFont="1" applyFill="1" applyBorder="1" applyAlignment="1">
      <alignment horizontal="right" vertical="center"/>
    </xf>
    <xf numFmtId="167" fontId="50" fillId="4" borderId="5" xfId="0" applyNumberFormat="1" applyFont="1" applyFill="1" applyBorder="1" applyAlignment="1">
      <alignment horizontal="right" vertical="center"/>
    </xf>
    <xf numFmtId="170" fontId="50" fillId="4" borderId="5" xfId="2" applyNumberFormat="1" applyFont="1" applyFill="1" applyBorder="1" applyAlignment="1">
      <alignment horizontal="right" vertical="center"/>
    </xf>
    <xf numFmtId="170" fontId="50" fillId="4" borderId="5" xfId="0" applyNumberFormat="1" applyFont="1" applyFill="1" applyBorder="1" applyAlignment="1">
      <alignment horizontal="right" vertical="center"/>
    </xf>
    <xf numFmtId="170" fontId="50" fillId="4" borderId="0" xfId="0" applyNumberFormat="1" applyFont="1" applyFill="1"/>
    <xf numFmtId="0" fontId="54" fillId="4" borderId="5" xfId="0" applyFont="1" applyFill="1" applyBorder="1" applyAlignment="1">
      <alignment vertical="center"/>
    </xf>
    <xf numFmtId="170" fontId="54" fillId="4" borderId="5" xfId="0" applyNumberFormat="1" applyFont="1" applyFill="1" applyBorder="1" applyAlignment="1">
      <alignment horizontal="right" vertical="center"/>
    </xf>
    <xf numFmtId="0" fontId="72" fillId="4" borderId="5" xfId="0" applyFont="1" applyFill="1" applyBorder="1" applyAlignment="1">
      <alignment horizontal="justify" vertical="center" wrapText="1"/>
    </xf>
    <xf numFmtId="49" fontId="70" fillId="4" borderId="5" xfId="46" applyNumberFormat="1" applyFont="1" applyFill="1" applyBorder="1" applyAlignment="1">
      <alignment vertical="center" wrapText="1"/>
    </xf>
    <xf numFmtId="49" fontId="70" fillId="4" borderId="5" xfId="46" applyNumberFormat="1" applyFont="1" applyFill="1" applyBorder="1" applyAlignment="1">
      <alignment horizontal="justify" vertical="center" wrapText="1"/>
    </xf>
    <xf numFmtId="0" fontId="124" fillId="4" borderId="5" xfId="0" applyFont="1" applyFill="1" applyBorder="1" applyAlignment="1">
      <alignment horizontal="justify" vertical="center" wrapText="1"/>
    </xf>
    <xf numFmtId="0" fontId="50" fillId="4" borderId="6" xfId="0" applyFont="1" applyFill="1" applyBorder="1" applyAlignment="1">
      <alignment horizontal="center" vertical="center"/>
    </xf>
    <xf numFmtId="170" fontId="50" fillId="4" borderId="6" xfId="2" applyNumberFormat="1" applyFont="1" applyFill="1" applyBorder="1" applyAlignment="1">
      <alignment horizontal="right" vertical="center"/>
    </xf>
    <xf numFmtId="170" fontId="50" fillId="4" borderId="6" xfId="0" applyNumberFormat="1" applyFont="1" applyFill="1" applyBorder="1" applyAlignment="1">
      <alignment horizontal="right" vertical="center"/>
    </xf>
    <xf numFmtId="0" fontId="50" fillId="4" borderId="6" xfId="0" applyFont="1" applyFill="1" applyBorder="1" applyAlignment="1">
      <alignment horizontal="right" vertical="center"/>
    </xf>
    <xf numFmtId="170" fontId="53" fillId="4" borderId="0" xfId="2" applyNumberFormat="1" applyFont="1" applyFill="1" applyAlignment="1">
      <alignment horizontal="right"/>
    </xf>
    <xf numFmtId="0" fontId="112" fillId="0" borderId="4" xfId="0" applyFont="1" applyBorder="1" applyAlignment="1">
      <alignment vertical="center" wrapText="1"/>
    </xf>
    <xf numFmtId="3" fontId="112" fillId="0" borderId="4" xfId="0" applyNumberFormat="1" applyFont="1" applyBorder="1"/>
    <xf numFmtId="3" fontId="112" fillId="0" borderId="0" xfId="0" applyNumberFormat="1" applyFont="1"/>
    <xf numFmtId="0" fontId="17" fillId="0" borderId="29" xfId="0" applyFont="1" applyBorder="1" applyAlignment="1">
      <alignment horizontal="center" vertical="center" wrapText="1"/>
    </xf>
    <xf numFmtId="0" fontId="112" fillId="0" borderId="5" xfId="0" applyFont="1" applyBorder="1" applyAlignment="1">
      <alignment vertical="center" wrapText="1"/>
    </xf>
    <xf numFmtId="0" fontId="112" fillId="0" borderId="5" xfId="0" applyFont="1" applyBorder="1"/>
    <xf numFmtId="0" fontId="120" fillId="0" borderId="5" xfId="0" applyFont="1" applyBorder="1" applyAlignment="1">
      <alignment horizontal="center" vertical="center" wrapText="1"/>
    </xf>
    <xf numFmtId="0" fontId="120" fillId="0" borderId="5" xfId="0" applyFont="1" applyBorder="1" applyAlignment="1">
      <alignment vertical="center" wrapText="1"/>
    </xf>
    <xf numFmtId="0" fontId="17" fillId="0" borderId="5" xfId="0" applyFont="1" applyBorder="1" applyAlignment="1">
      <alignment horizontal="left" vertical="center" wrapText="1"/>
    </xf>
    <xf numFmtId="0" fontId="112" fillId="0" borderId="5" xfId="0" applyFont="1" applyBorder="1" applyAlignment="1">
      <alignment horizontal="left" vertical="center" wrapText="1"/>
    </xf>
    <xf numFmtId="0" fontId="112" fillId="0" borderId="5" xfId="0" applyFont="1" applyBorder="1" applyAlignment="1">
      <alignment horizontal="justify" vertical="center" wrapText="1"/>
    </xf>
    <xf numFmtId="0" fontId="112" fillId="0" borderId="5" xfId="17" applyFont="1" applyBorder="1" applyAlignment="1">
      <alignment horizontal="left" vertical="center" wrapText="1"/>
    </xf>
    <xf numFmtId="0" fontId="112" fillId="4" borderId="5" xfId="17" applyFont="1" applyFill="1" applyBorder="1" applyAlignment="1">
      <alignment horizontal="left" vertical="center"/>
    </xf>
    <xf numFmtId="0" fontId="112" fillId="0" borderId="5" xfId="17" applyFont="1" applyBorder="1" applyAlignment="1">
      <alignment horizontal="left" vertical="center"/>
    </xf>
    <xf numFmtId="0" fontId="89" fillId="0" borderId="29" xfId="0" applyFont="1" applyBorder="1" applyAlignment="1">
      <alignment horizontal="center" vertical="center" wrapText="1"/>
    </xf>
    <xf numFmtId="0" fontId="93" fillId="0" borderId="5" xfId="0" applyFont="1" applyBorder="1" applyAlignment="1">
      <alignment horizontal="left" vertical="center" wrapText="1"/>
    </xf>
    <xf numFmtId="0" fontId="89" fillId="0" borderId="5" xfId="0" applyFont="1" applyBorder="1" applyAlignment="1">
      <alignment horizontal="center" vertical="center" wrapText="1"/>
    </xf>
    <xf numFmtId="0" fontId="93" fillId="0" borderId="5" xfId="17" applyFont="1" applyBorder="1" applyAlignment="1">
      <alignment horizontal="left" vertical="center" wrapText="1"/>
    </xf>
    <xf numFmtId="3" fontId="93" fillId="0" borderId="0" xfId="0" applyNumberFormat="1" applyFont="1"/>
    <xf numFmtId="0" fontId="89" fillId="0" borderId="0" xfId="0" applyFont="1"/>
    <xf numFmtId="0" fontId="93" fillId="0" borderId="0" xfId="0" applyFont="1"/>
    <xf numFmtId="0" fontId="93" fillId="4" borderId="5" xfId="17" applyFont="1" applyFill="1" applyBorder="1" applyAlignment="1">
      <alignment horizontal="left" vertical="center"/>
    </xf>
    <xf numFmtId="0" fontId="93" fillId="0" borderId="5" xfId="17" applyFont="1" applyBorder="1" applyAlignment="1">
      <alignment horizontal="left" vertical="center"/>
    </xf>
    <xf numFmtId="3" fontId="89" fillId="0" borderId="0" xfId="0" applyNumberFormat="1" applyFont="1"/>
    <xf numFmtId="185" fontId="17" fillId="0" borderId="0" xfId="2" applyNumberFormat="1" applyFont="1" applyBorder="1" applyAlignment="1"/>
    <xf numFmtId="3" fontId="17" fillId="0" borderId="0" xfId="0" applyNumberFormat="1" applyFont="1"/>
    <xf numFmtId="191" fontId="112" fillId="0" borderId="0" xfId="2" applyNumberFormat="1" applyFont="1" applyBorder="1" applyAlignment="1"/>
    <xf numFmtId="3" fontId="112" fillId="4" borderId="5" xfId="0" applyNumberFormat="1" applyFont="1" applyFill="1" applyBorder="1" applyAlignment="1">
      <alignment horizontal="justify" vertical="center" wrapText="1"/>
    </xf>
    <xf numFmtId="0" fontId="93" fillId="0" borderId="5" xfId="0" applyFont="1" applyBorder="1" applyAlignment="1">
      <alignment horizontal="justify" vertical="center" wrapText="1"/>
    </xf>
    <xf numFmtId="3" fontId="112" fillId="0" borderId="5" xfId="15" applyNumberFormat="1" applyFont="1" applyBorder="1" applyAlignment="1">
      <alignment horizontal="justify" vertical="center" wrapText="1"/>
    </xf>
    <xf numFmtId="0" fontId="3" fillId="0" borderId="28" xfId="0" applyFont="1" applyBorder="1" applyAlignment="1">
      <alignment horizontal="center" vertical="center" wrapText="1"/>
    </xf>
    <xf numFmtId="0" fontId="26" fillId="0" borderId="5" xfId="0" applyFont="1" applyBorder="1" applyAlignment="1">
      <alignment horizontal="left" vertical="center" wrapText="1"/>
    </xf>
    <xf numFmtId="0" fontId="3" fillId="0" borderId="0" xfId="0" applyFont="1"/>
    <xf numFmtId="0" fontId="112" fillId="0" borderId="30" xfId="0" applyFont="1" applyBorder="1" applyAlignment="1">
      <alignment horizontal="center" vertical="center" wrapText="1"/>
    </xf>
    <xf numFmtId="0" fontId="112" fillId="0" borderId="3" xfId="0" applyFont="1" applyBorder="1" applyAlignment="1">
      <alignment horizontal="center" vertical="center" wrapText="1"/>
    </xf>
    <xf numFmtId="0" fontId="120" fillId="0" borderId="3" xfId="0" applyFont="1" applyBorder="1" applyAlignment="1">
      <alignment horizontal="left" vertical="center" wrapText="1"/>
    </xf>
    <xf numFmtId="0" fontId="112" fillId="0" borderId="3" xfId="0" applyFont="1" applyBorder="1"/>
    <xf numFmtId="0" fontId="112" fillId="0" borderId="6" xfId="0" applyFont="1" applyBorder="1"/>
    <xf numFmtId="181" fontId="18" fillId="0" borderId="0" xfId="0" applyNumberFormat="1" applyFont="1"/>
    <xf numFmtId="0" fontId="10" fillId="0" borderId="25" xfId="0" applyFont="1" applyBorder="1" applyAlignment="1">
      <alignment horizontal="center" vertical="center" wrapText="1"/>
    </xf>
    <xf numFmtId="0" fontId="125" fillId="0" borderId="25" xfId="0" applyFont="1" applyBorder="1" applyAlignment="1">
      <alignment vertical="center" wrapText="1"/>
    </xf>
    <xf numFmtId="168" fontId="10" fillId="0" borderId="25" xfId="2" applyNumberFormat="1" applyFont="1" applyBorder="1" applyAlignment="1">
      <alignment horizontal="right" vertical="center" wrapText="1"/>
    </xf>
    <xf numFmtId="0" fontId="13" fillId="0" borderId="21" xfId="0" applyFont="1" applyBorder="1" applyAlignment="1">
      <alignment horizontal="center" vertical="center" wrapText="1"/>
    </xf>
    <xf numFmtId="0" fontId="13" fillId="0" borderId="21" xfId="0" applyFont="1" applyBorder="1" applyAlignment="1">
      <alignment vertical="center" wrapText="1"/>
    </xf>
    <xf numFmtId="0" fontId="83" fillId="0" borderId="21" xfId="0" applyFont="1" applyBorder="1" applyAlignment="1">
      <alignment horizontal="center" vertical="center" wrapText="1"/>
    </xf>
    <xf numFmtId="168" fontId="13" fillId="0" borderId="21" xfId="2" applyNumberFormat="1" applyFont="1" applyBorder="1" applyAlignment="1">
      <alignment horizontal="right" vertical="center" wrapText="1"/>
    </xf>
    <xf numFmtId="0" fontId="13" fillId="0" borderId="21" xfId="0" applyFont="1" applyBorder="1"/>
    <xf numFmtId="167" fontId="18" fillId="0" borderId="0" xfId="2" applyNumberFormat="1" applyFont="1" applyBorder="1"/>
    <xf numFmtId="169" fontId="120" fillId="0" borderId="5" xfId="2" applyNumberFormat="1" applyFont="1" applyBorder="1" applyAlignment="1">
      <alignment horizontal="right" vertical="center" wrapText="1"/>
    </xf>
    <xf numFmtId="169" fontId="120" fillId="0" borderId="10" xfId="2" applyNumberFormat="1" applyFont="1" applyBorder="1" applyAlignment="1">
      <alignment horizontal="right" vertical="center" wrapText="1"/>
    </xf>
    <xf numFmtId="169" fontId="120" fillId="0" borderId="6" xfId="2" applyNumberFormat="1" applyFont="1" applyBorder="1" applyAlignment="1">
      <alignment horizontal="right" vertical="center" wrapText="1"/>
    </xf>
    <xf numFmtId="174" fontId="120" fillId="0" borderId="5" xfId="2" applyNumberFormat="1" applyFont="1" applyBorder="1" applyAlignment="1">
      <alignment horizontal="right" vertical="center" wrapText="1"/>
    </xf>
    <xf numFmtId="174" fontId="120" fillId="0" borderId="6" xfId="2" applyNumberFormat="1" applyFont="1" applyBorder="1" applyAlignment="1">
      <alignment horizontal="right" vertical="center" wrapText="1"/>
    </xf>
    <xf numFmtId="174" fontId="112" fillId="0" borderId="0" xfId="2" applyNumberFormat="1" applyFont="1"/>
    <xf numFmtId="192" fontId="112" fillId="0" borderId="0" xfId="0" applyNumberFormat="1" applyFont="1"/>
    <xf numFmtId="193" fontId="112" fillId="0" borderId="0" xfId="0" applyNumberFormat="1" applyFont="1"/>
    <xf numFmtId="181" fontId="112" fillId="5" borderId="0" xfId="0" applyNumberFormat="1" applyFont="1" applyFill="1"/>
    <xf numFmtId="175" fontId="112" fillId="0" borderId="0" xfId="2" applyNumberFormat="1" applyFont="1" applyAlignment="1">
      <alignment horizontal="center"/>
    </xf>
    <xf numFmtId="189" fontId="112" fillId="0" borderId="0" xfId="0" applyNumberFormat="1" applyFont="1" applyAlignment="1">
      <alignment horizontal="center"/>
    </xf>
    <xf numFmtId="169" fontId="3" fillId="3" borderId="21" xfId="2" applyNumberFormat="1" applyFont="1" applyFill="1" applyBorder="1" applyAlignment="1">
      <alignment horizontal="right" vertical="center" wrapText="1"/>
    </xf>
    <xf numFmtId="169" fontId="112" fillId="0" borderId="21" xfId="2" applyNumberFormat="1" applyFont="1" applyBorder="1" applyAlignment="1">
      <alignment horizontal="center"/>
    </xf>
    <xf numFmtId="169" fontId="112" fillId="3" borderId="21" xfId="2" applyNumberFormat="1" applyFont="1" applyFill="1" applyBorder="1" applyAlignment="1">
      <alignment horizontal="right" vertical="center" wrapText="1"/>
    </xf>
    <xf numFmtId="169" fontId="112" fillId="0" borderId="21" xfId="2" applyNumberFormat="1" applyFont="1" applyBorder="1"/>
    <xf numFmtId="169" fontId="112" fillId="3" borderId="7" xfId="2" applyNumberFormat="1" applyFont="1" applyFill="1" applyBorder="1" applyAlignment="1">
      <alignment horizontal="right" vertical="center" wrapText="1"/>
    </xf>
    <xf numFmtId="169" fontId="3" fillId="3" borderId="5" xfId="2" applyNumberFormat="1" applyFont="1" applyFill="1" applyBorder="1" applyAlignment="1">
      <alignment horizontal="right" vertical="center" wrapText="1"/>
    </xf>
    <xf numFmtId="169" fontId="7" fillId="4" borderId="5" xfId="2" applyNumberFormat="1" applyFont="1" applyFill="1" applyBorder="1" applyAlignment="1">
      <alignment horizontal="right" vertical="center" wrapText="1"/>
    </xf>
    <xf numFmtId="169" fontId="112" fillId="0" borderId="5" xfId="2" applyNumberFormat="1" applyFont="1" applyBorder="1" applyAlignment="1">
      <alignment vertical="center"/>
    </xf>
    <xf numFmtId="169" fontId="29" fillId="0" borderId="5" xfId="2" applyNumberFormat="1" applyFont="1" applyBorder="1" applyAlignment="1">
      <alignment horizontal="right" vertical="center" wrapText="1"/>
    </xf>
    <xf numFmtId="169" fontId="17" fillId="0" borderId="5" xfId="2" applyNumberFormat="1" applyFont="1" applyBorder="1" applyAlignment="1">
      <alignment vertical="center"/>
    </xf>
    <xf numFmtId="169" fontId="112" fillId="0" borderId="10" xfId="2" applyNumberFormat="1" applyFont="1" applyBorder="1" applyAlignment="1">
      <alignment vertical="center"/>
    </xf>
    <xf numFmtId="169" fontId="112" fillId="0" borderId="6" xfId="2" applyNumberFormat="1" applyFont="1" applyBorder="1" applyAlignment="1">
      <alignment vertical="center"/>
    </xf>
    <xf numFmtId="174" fontId="20" fillId="0" borderId="4" xfId="2" applyNumberFormat="1" applyFont="1" applyBorder="1" applyAlignment="1">
      <alignment horizontal="right" vertical="center" wrapText="1"/>
    </xf>
    <xf numFmtId="174" fontId="19" fillId="0" borderId="5" xfId="2" applyNumberFormat="1" applyFont="1" applyBorder="1" applyAlignment="1">
      <alignment horizontal="right" vertical="center" wrapText="1"/>
    </xf>
    <xf numFmtId="174" fontId="121" fillId="0" borderId="5" xfId="2" applyNumberFormat="1" applyFont="1" applyBorder="1" applyAlignment="1">
      <alignment horizontal="right" vertical="center" wrapText="1"/>
    </xf>
    <xf numFmtId="174" fontId="20" fillId="0" borderId="5" xfId="2" applyNumberFormat="1" applyFont="1" applyBorder="1" applyAlignment="1">
      <alignment horizontal="right" vertical="center" wrapText="1"/>
    </xf>
    <xf numFmtId="174" fontId="19" fillId="3" borderId="5" xfId="2" applyNumberFormat="1" applyFont="1" applyFill="1" applyBorder="1" applyAlignment="1">
      <alignment horizontal="left" vertical="center" wrapText="1"/>
    </xf>
    <xf numFmtId="174" fontId="54" fillId="0" borderId="5" xfId="2" applyNumberFormat="1" applyFont="1" applyBorder="1" applyAlignment="1">
      <alignment horizontal="right" vertical="center" wrapText="1"/>
    </xf>
    <xf numFmtId="174" fontId="50" fillId="0" borderId="5" xfId="2" applyNumberFormat="1" applyFont="1" applyBorder="1" applyAlignment="1">
      <alignment horizontal="right" vertical="center" wrapText="1"/>
    </xf>
    <xf numFmtId="174" fontId="19" fillId="3" borderId="5" xfId="2" applyNumberFormat="1" applyFont="1" applyFill="1" applyBorder="1" applyAlignment="1">
      <alignment horizontal="right" vertical="center" wrapText="1"/>
    </xf>
    <xf numFmtId="174" fontId="30" fillId="0" borderId="4" xfId="2" applyNumberFormat="1" applyFont="1" applyBorder="1" applyAlignment="1">
      <alignment horizontal="right" vertical="center" wrapText="1"/>
    </xf>
    <xf numFmtId="174" fontId="36" fillId="0" borderId="5" xfId="2" applyNumberFormat="1" applyFont="1" applyBorder="1" applyAlignment="1">
      <alignment horizontal="right" vertical="center" wrapText="1"/>
    </xf>
    <xf numFmtId="174" fontId="19" fillId="0" borderId="10" xfId="2" applyNumberFormat="1" applyFont="1" applyBorder="1" applyAlignment="1">
      <alignment horizontal="right" vertical="center" wrapText="1"/>
    </xf>
    <xf numFmtId="174" fontId="36" fillId="0" borderId="10" xfId="2" applyNumberFormat="1" applyFont="1" applyBorder="1" applyAlignment="1">
      <alignment horizontal="right" vertical="center" wrapText="1"/>
    </xf>
    <xf numFmtId="174" fontId="19" fillId="0" borderId="6" xfId="2" applyNumberFormat="1" applyFont="1" applyBorder="1" applyAlignment="1">
      <alignment horizontal="right" vertical="center" wrapText="1"/>
    </xf>
    <xf numFmtId="174" fontId="36" fillId="0" borderId="6" xfId="2" applyNumberFormat="1" applyFont="1" applyBorder="1" applyAlignment="1">
      <alignment horizontal="right" vertical="center" wrapText="1"/>
    </xf>
    <xf numFmtId="0" fontId="19" fillId="0" borderId="10" xfId="0" applyFont="1" applyBorder="1" applyAlignment="1">
      <alignment vertical="center" wrapText="1"/>
    </xf>
    <xf numFmtId="0" fontId="19" fillId="0" borderId="9" xfId="0" applyFont="1" applyBorder="1" applyAlignment="1">
      <alignment vertical="center" wrapText="1"/>
    </xf>
    <xf numFmtId="0" fontId="19" fillId="0" borderId="11" xfId="0" applyFont="1" applyBorder="1" applyAlignment="1">
      <alignment vertical="center" wrapText="1"/>
    </xf>
    <xf numFmtId="0" fontId="36" fillId="0" borderId="7" xfId="0" applyFont="1" applyBorder="1" applyAlignment="1">
      <alignment horizontal="left" vertical="center" wrapText="1"/>
    </xf>
    <xf numFmtId="0" fontId="36" fillId="0" borderId="7" xfId="0" applyFont="1" applyBorder="1" applyAlignment="1">
      <alignment horizontal="center" vertical="center" wrapText="1"/>
    </xf>
    <xf numFmtId="174" fontId="19" fillId="0" borderId="7" xfId="2" applyNumberFormat="1" applyFont="1" applyBorder="1" applyAlignment="1">
      <alignment horizontal="right" vertical="center" wrapText="1"/>
    </xf>
    <xf numFmtId="174" fontId="36" fillId="0" borderId="7" xfId="2" applyNumberFormat="1" applyFont="1" applyBorder="1" applyAlignment="1">
      <alignment horizontal="right" vertical="center" wrapText="1"/>
    </xf>
    <xf numFmtId="0" fontId="122" fillId="4" borderId="6" xfId="0" applyFont="1" applyFill="1" applyBorder="1" applyAlignment="1">
      <alignment horizontal="justify" wrapText="1"/>
    </xf>
    <xf numFmtId="0" fontId="82" fillId="0" borderId="0" xfId="0" applyFont="1"/>
    <xf numFmtId="0" fontId="84" fillId="4" borderId="0" xfId="0" applyFont="1" applyFill="1" applyAlignment="1">
      <alignment vertical="center" wrapText="1"/>
    </xf>
    <xf numFmtId="0" fontId="111" fillId="4" borderId="0" xfId="0" applyFont="1" applyFill="1" applyAlignment="1">
      <alignment vertical="center" wrapText="1"/>
    </xf>
    <xf numFmtId="0" fontId="126" fillId="0" borderId="0" xfId="0" applyFont="1"/>
    <xf numFmtId="0" fontId="119" fillId="4" borderId="0" xfId="0" applyFont="1" applyFill="1"/>
    <xf numFmtId="3" fontId="53" fillId="4" borderId="4" xfId="0" applyNumberFormat="1" applyFont="1" applyFill="1" applyBorder="1" applyAlignment="1">
      <alignment horizontal="right" vertical="center" wrapText="1"/>
    </xf>
    <xf numFmtId="0" fontId="46" fillId="4" borderId="4" xfId="0" applyFont="1" applyFill="1" applyBorder="1" applyAlignment="1">
      <alignment horizontal="center" vertical="center" wrapText="1"/>
    </xf>
    <xf numFmtId="0" fontId="46" fillId="4" borderId="4" xfId="0" applyFont="1" applyFill="1" applyBorder="1" applyAlignment="1">
      <alignment vertical="center"/>
    </xf>
    <xf numFmtId="0" fontId="43" fillId="4" borderId="4" xfId="0" applyFont="1" applyFill="1" applyBorder="1" applyAlignment="1">
      <alignment horizontal="justify" vertical="center" wrapText="1"/>
    </xf>
    <xf numFmtId="167" fontId="43" fillId="4" borderId="4" xfId="2" applyNumberFormat="1" applyFont="1" applyFill="1" applyBorder="1" applyAlignment="1">
      <alignment horizontal="justify" vertical="center" wrapText="1"/>
    </xf>
    <xf numFmtId="14" fontId="43" fillId="4" borderId="4" xfId="0" applyNumberFormat="1" applyFont="1" applyFill="1" applyBorder="1" applyAlignment="1">
      <alignment horizontal="center" vertical="center" wrapText="1"/>
    </xf>
    <xf numFmtId="170" fontId="43" fillId="4" borderId="4" xfId="0" applyNumberFormat="1" applyFont="1" applyFill="1" applyBorder="1" applyAlignment="1">
      <alignment horizontal="right" vertical="center" wrapText="1"/>
    </xf>
    <xf numFmtId="3" fontId="54" fillId="4" borderId="5" xfId="0" applyNumberFormat="1" applyFont="1" applyFill="1" applyBorder="1" applyAlignment="1">
      <alignment horizontal="left" vertical="center" wrapText="1"/>
    </xf>
    <xf numFmtId="3" fontId="54" fillId="4" borderId="5" xfId="0" applyNumberFormat="1" applyFont="1" applyFill="1" applyBorder="1" applyAlignment="1">
      <alignment horizontal="right" vertical="center" wrapText="1"/>
    </xf>
    <xf numFmtId="3" fontId="54" fillId="4" borderId="5" xfId="0" applyNumberFormat="1" applyFont="1" applyFill="1" applyBorder="1" applyAlignment="1">
      <alignment horizontal="center" vertical="center" wrapText="1"/>
    </xf>
    <xf numFmtId="3" fontId="50" fillId="4" borderId="5" xfId="0" applyNumberFormat="1" applyFont="1" applyFill="1" applyBorder="1" applyAlignment="1">
      <alignment horizontal="right" vertical="center"/>
    </xf>
    <xf numFmtId="174" fontId="112" fillId="0" borderId="5" xfId="2" applyNumberFormat="1" applyFont="1" applyBorder="1" applyAlignment="1">
      <alignment horizontal="right" vertical="center" wrapText="1"/>
    </xf>
    <xf numFmtId="174" fontId="17" fillId="0" borderId="5" xfId="2" applyNumberFormat="1" applyFont="1" applyBorder="1" applyAlignment="1">
      <alignment horizontal="right" vertical="center" wrapText="1"/>
    </xf>
    <xf numFmtId="174" fontId="93" fillId="0" borderId="5" xfId="2" applyNumberFormat="1" applyFont="1" applyBorder="1" applyAlignment="1">
      <alignment horizontal="right" vertical="center" wrapText="1"/>
    </xf>
    <xf numFmtId="174" fontId="112" fillId="3" borderId="5" xfId="2" applyNumberFormat="1" applyFont="1" applyFill="1" applyBorder="1" applyAlignment="1">
      <alignment horizontal="right" vertical="center" wrapText="1"/>
    </xf>
    <xf numFmtId="174" fontId="112" fillId="4" borderId="5" xfId="2" applyNumberFormat="1" applyFont="1" applyFill="1" applyBorder="1" applyAlignment="1">
      <alignment horizontal="right" vertical="center" wrapText="1"/>
    </xf>
    <xf numFmtId="174" fontId="26" fillId="0" borderId="5" xfId="2" applyNumberFormat="1" applyFont="1" applyBorder="1" applyAlignment="1">
      <alignment horizontal="right" vertical="center" wrapText="1"/>
    </xf>
    <xf numFmtId="174" fontId="3" fillId="0" borderId="5" xfId="2" applyNumberFormat="1" applyFont="1" applyBorder="1"/>
    <xf numFmtId="174" fontId="112" fillId="0" borderId="5" xfId="2" applyNumberFormat="1" applyFont="1" applyBorder="1"/>
    <xf numFmtId="174" fontId="112" fillId="0" borderId="6" xfId="2" applyNumberFormat="1" applyFont="1" applyBorder="1"/>
    <xf numFmtId="174" fontId="7" fillId="0" borderId="5" xfId="2" applyNumberFormat="1" applyFont="1" applyBorder="1" applyAlignment="1">
      <alignment horizontal="right" vertical="center" wrapText="1"/>
    </xf>
    <xf numFmtId="0" fontId="7" fillId="0" borderId="29" xfId="0" applyFont="1" applyBorder="1" applyAlignment="1">
      <alignment horizontal="center" vertical="center" wrapText="1"/>
    </xf>
    <xf numFmtId="0" fontId="7" fillId="0" borderId="28" xfId="0" applyFont="1" applyBorder="1" applyAlignment="1">
      <alignment horizontal="center" vertical="center" wrapText="1"/>
    </xf>
    <xf numFmtId="174" fontId="5" fillId="0" borderId="5" xfId="2" applyNumberFormat="1" applyFont="1" applyBorder="1" applyAlignment="1">
      <alignment horizontal="right" vertical="center" wrapText="1"/>
    </xf>
    <xf numFmtId="0" fontId="20" fillId="0" borderId="26"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5" xfId="38" applyFont="1" applyBorder="1" applyAlignment="1">
      <alignment horizontal="center" vertical="center" wrapText="1"/>
    </xf>
    <xf numFmtId="177" fontId="17" fillId="0" borderId="4" xfId="0" applyNumberFormat="1" applyFont="1" applyBorder="1" applyAlignment="1">
      <alignment vertical="center" wrapText="1"/>
    </xf>
    <xf numFmtId="177" fontId="20" fillId="0" borderId="25" xfId="38" applyNumberFormat="1" applyFont="1" applyBorder="1" applyAlignment="1">
      <alignment horizontal="right" vertical="center" wrapText="1"/>
    </xf>
    <xf numFmtId="43" fontId="0" fillId="4" borderId="0" xfId="2" applyFont="1" applyFill="1"/>
    <xf numFmtId="0" fontId="65" fillId="4" borderId="0" xfId="42" applyFont="1" applyFill="1" applyAlignment="1">
      <alignment horizontal="centerContinuous" vertical="center"/>
    </xf>
    <xf numFmtId="174" fontId="127" fillId="4" borderId="0" xfId="2" applyNumberFormat="1" applyFont="1" applyFill="1"/>
    <xf numFmtId="0" fontId="127" fillId="4" borderId="0" xfId="0" applyFont="1" applyFill="1"/>
    <xf numFmtId="0" fontId="44" fillId="4" borderId="0" xfId="0" applyFont="1" applyFill="1" applyAlignment="1">
      <alignment horizontal="center" vertical="center"/>
    </xf>
    <xf numFmtId="0" fontId="48" fillId="4" borderId="13" xfId="0" applyFont="1" applyFill="1" applyBorder="1" applyAlignment="1">
      <alignment horizontal="right" vertical="center"/>
    </xf>
    <xf numFmtId="0" fontId="59" fillId="4" borderId="3" xfId="0" applyFont="1" applyFill="1" applyBorder="1" applyAlignment="1">
      <alignment horizontal="center" vertical="center"/>
    </xf>
    <xf numFmtId="0" fontId="117" fillId="4" borderId="3" xfId="0" applyFont="1" applyFill="1" applyBorder="1" applyAlignment="1">
      <alignment horizontal="center" vertical="center"/>
    </xf>
    <xf numFmtId="174" fontId="0" fillId="4" borderId="0" xfId="2" applyNumberFormat="1" applyFont="1" applyFill="1"/>
    <xf numFmtId="0" fontId="0" fillId="4" borderId="0" xfId="0" applyFill="1"/>
    <xf numFmtId="0" fontId="59" fillId="4" borderId="7" xfId="0" applyFont="1" applyFill="1" applyBorder="1" applyAlignment="1">
      <alignment horizontal="center" vertical="center"/>
    </xf>
    <xf numFmtId="0" fontId="59" fillId="4" borderId="7" xfId="0" applyFont="1" applyFill="1" applyBorder="1" applyAlignment="1">
      <alignment vertical="center" wrapText="1"/>
    </xf>
    <xf numFmtId="43" fontId="117" fillId="4" borderId="7" xfId="2" applyFont="1" applyFill="1" applyBorder="1" applyAlignment="1">
      <alignment vertical="center"/>
    </xf>
    <xf numFmtId="0" fontId="117" fillId="4" borderId="7" xfId="0" applyFont="1" applyFill="1" applyBorder="1" applyAlignment="1">
      <alignment horizontal="center" vertical="center"/>
    </xf>
    <xf numFmtId="0" fontId="128" fillId="4" borderId="7" xfId="0" applyFont="1" applyFill="1" applyBorder="1" applyAlignment="1">
      <alignment horizontal="justify" vertical="center" wrapText="1"/>
    </xf>
    <xf numFmtId="43" fontId="59" fillId="4" borderId="7" xfId="2" applyFont="1" applyFill="1" applyBorder="1" applyAlignment="1">
      <alignment vertical="center"/>
    </xf>
    <xf numFmtId="0" fontId="45" fillId="4" borderId="5" xfId="0" applyFont="1" applyFill="1" applyBorder="1" applyAlignment="1">
      <alignment vertical="center"/>
    </xf>
    <xf numFmtId="43" fontId="45" fillId="4" borderId="5" xfId="2" applyFont="1" applyFill="1" applyBorder="1" applyAlignment="1">
      <alignment vertical="center"/>
    </xf>
    <xf numFmtId="0" fontId="87" fillId="4" borderId="5" xfId="0" applyFont="1" applyFill="1" applyBorder="1" applyAlignment="1">
      <alignment vertical="center"/>
    </xf>
    <xf numFmtId="0" fontId="128" fillId="4" borderId="5" xfId="0" applyFont="1" applyFill="1" applyBorder="1" applyAlignment="1">
      <alignment horizontal="center" vertical="center"/>
    </xf>
    <xf numFmtId="43" fontId="117" fillId="4" borderId="5" xfId="2" applyFont="1" applyFill="1" applyBorder="1" applyAlignment="1">
      <alignment vertical="center"/>
    </xf>
    <xf numFmtId="0" fontId="59" fillId="4" borderId="5" xfId="0" applyFont="1" applyFill="1" applyBorder="1" applyAlignment="1">
      <alignment horizontal="center" vertical="center"/>
    </xf>
    <xf numFmtId="43" fontId="59" fillId="4" borderId="5" xfId="2" applyFont="1" applyFill="1" applyBorder="1" applyAlignment="1">
      <alignment vertical="center"/>
    </xf>
    <xf numFmtId="0" fontId="45" fillId="4" borderId="5" xfId="0" applyFont="1" applyFill="1" applyBorder="1" applyAlignment="1">
      <alignment vertical="center" wrapText="1"/>
    </xf>
    <xf numFmtId="0" fontId="128" fillId="4" borderId="5" xfId="0" applyFont="1" applyFill="1" applyBorder="1" applyAlignment="1">
      <alignment vertical="center" wrapText="1"/>
    </xf>
    <xf numFmtId="0" fontId="59" fillId="4" borderId="6" xfId="0" applyFont="1" applyFill="1" applyBorder="1" applyAlignment="1">
      <alignment horizontal="center" vertical="center"/>
    </xf>
    <xf numFmtId="0" fontId="59" fillId="4" borderId="6" xfId="0" applyFont="1" applyFill="1" applyBorder="1" applyAlignment="1">
      <alignment vertical="center"/>
    </xf>
    <xf numFmtId="43" fontId="59" fillId="4" borderId="6" xfId="2" applyFont="1" applyFill="1" applyBorder="1" applyAlignment="1">
      <alignment vertical="center"/>
    </xf>
    <xf numFmtId="0" fontId="59" fillId="4" borderId="3" xfId="0" applyFont="1" applyFill="1" applyBorder="1" applyAlignment="1">
      <alignment wrapText="1"/>
    </xf>
    <xf numFmtId="43" fontId="59" fillId="4" borderId="3" xfId="0" applyNumberFormat="1" applyFont="1" applyFill="1" applyBorder="1" applyAlignment="1">
      <alignment wrapText="1"/>
    </xf>
    <xf numFmtId="43" fontId="59" fillId="4" borderId="24" xfId="0" applyNumberFormat="1" applyFont="1" applyFill="1" applyBorder="1" applyAlignment="1">
      <alignment wrapText="1"/>
    </xf>
    <xf numFmtId="0" fontId="0" fillId="4" borderId="3" xfId="0" applyFill="1" applyBorder="1"/>
    <xf numFmtId="0" fontId="47" fillId="4" borderId="3" xfId="0" applyFont="1" applyFill="1" applyBorder="1"/>
    <xf numFmtId="43" fontId="47" fillId="4" borderId="0" xfId="2" applyFont="1" applyFill="1"/>
    <xf numFmtId="174" fontId="47" fillId="4" borderId="0" xfId="2" applyNumberFormat="1" applyFont="1" applyFill="1"/>
    <xf numFmtId="185" fontId="19" fillId="4" borderId="0" xfId="2" applyNumberFormat="1" applyFont="1" applyFill="1" applyBorder="1"/>
    <xf numFmtId="185" fontId="18" fillId="4" borderId="0" xfId="2" applyNumberFormat="1" applyFont="1" applyFill="1" applyBorder="1"/>
    <xf numFmtId="167" fontId="18" fillId="4" borderId="0" xfId="2" applyNumberFormat="1" applyFont="1" applyFill="1" applyBorder="1"/>
    <xf numFmtId="43" fontId="28" fillId="4" borderId="0" xfId="2" applyFont="1" applyFill="1" applyAlignment="1">
      <alignment horizontal="right"/>
    </xf>
    <xf numFmtId="0" fontId="128" fillId="4" borderId="5" xfId="0" applyFont="1" applyFill="1" applyBorder="1" applyAlignment="1">
      <alignment horizontal="justify" vertical="center" wrapText="1"/>
    </xf>
    <xf numFmtId="169" fontId="88" fillId="4" borderId="7" xfId="2" applyNumberFormat="1" applyFont="1" applyFill="1" applyBorder="1" applyAlignment="1">
      <alignment vertical="center"/>
    </xf>
    <xf numFmtId="169" fontId="90" fillId="4" borderId="5" xfId="2" applyNumberFormat="1" applyFont="1" applyFill="1" applyBorder="1" applyAlignment="1">
      <alignment vertical="center"/>
    </xf>
    <xf numFmtId="169" fontId="88" fillId="4" borderId="5" xfId="2" applyNumberFormat="1" applyFont="1" applyFill="1" applyBorder="1" applyAlignment="1">
      <alignment vertical="center"/>
    </xf>
    <xf numFmtId="169" fontId="88" fillId="4" borderId="6" xfId="2" applyNumberFormat="1" applyFont="1" applyFill="1" applyBorder="1" applyAlignment="1">
      <alignment vertical="center"/>
    </xf>
    <xf numFmtId="169" fontId="88" fillId="4" borderId="3" xfId="2" applyNumberFormat="1" applyFont="1" applyFill="1" applyBorder="1" applyAlignment="1">
      <alignment wrapText="1"/>
    </xf>
    <xf numFmtId="169" fontId="129" fillId="4" borderId="3" xfId="2" applyNumberFormat="1" applyFont="1" applyFill="1" applyBorder="1"/>
    <xf numFmtId="169" fontId="88" fillId="4" borderId="3" xfId="2" applyNumberFormat="1" applyFont="1" applyFill="1" applyBorder="1"/>
    <xf numFmtId="0" fontId="125" fillId="0" borderId="3" xfId="0" applyFont="1" applyBorder="1" applyAlignment="1">
      <alignment horizontal="center" vertical="center" wrapText="1"/>
    </xf>
    <xf numFmtId="0" fontId="72" fillId="4" borderId="3" xfId="0" applyFont="1" applyFill="1" applyBorder="1" applyAlignment="1">
      <alignment horizontal="center" vertical="center" wrapText="1"/>
    </xf>
    <xf numFmtId="167" fontId="72" fillId="4" borderId="3" xfId="2" applyNumberFormat="1" applyFont="1" applyFill="1" applyBorder="1" applyAlignment="1">
      <alignment vertical="center" wrapText="1"/>
    </xf>
    <xf numFmtId="167" fontId="72" fillId="4" borderId="3" xfId="2" applyNumberFormat="1" applyFont="1" applyFill="1" applyBorder="1" applyAlignment="1">
      <alignment horizontal="center" vertical="center" wrapText="1"/>
    </xf>
    <xf numFmtId="43" fontId="72" fillId="4" borderId="3" xfId="2" applyFont="1" applyFill="1" applyBorder="1" applyAlignment="1">
      <alignment horizontal="center" vertical="center" wrapText="1"/>
    </xf>
    <xf numFmtId="173" fontId="72" fillId="4" borderId="0" xfId="2" applyNumberFormat="1" applyFont="1" applyFill="1"/>
    <xf numFmtId="0" fontId="70" fillId="4" borderId="3" xfId="0" applyFont="1" applyFill="1" applyBorder="1" applyAlignment="1">
      <alignment horizontal="center" vertical="center" wrapText="1"/>
    </xf>
    <xf numFmtId="167" fontId="70" fillId="4" borderId="3" xfId="2" applyNumberFormat="1" applyFont="1" applyFill="1" applyBorder="1" applyAlignment="1">
      <alignment horizontal="center" vertical="center" wrapText="1"/>
    </xf>
    <xf numFmtId="174" fontId="70" fillId="4" borderId="3" xfId="0" applyNumberFormat="1" applyFont="1" applyFill="1" applyBorder="1" applyAlignment="1">
      <alignment horizontal="center" vertical="center" wrapText="1"/>
    </xf>
    <xf numFmtId="173" fontId="70" fillId="4" borderId="0" xfId="2" applyNumberFormat="1" applyFont="1" applyFill="1"/>
    <xf numFmtId="0" fontId="76" fillId="4" borderId="0" xfId="0" applyFont="1" applyFill="1"/>
    <xf numFmtId="0" fontId="70" fillId="0" borderId="0" xfId="0" applyFont="1"/>
    <xf numFmtId="0" fontId="48" fillId="4" borderId="3" xfId="0" applyFont="1" applyFill="1" applyBorder="1" applyAlignment="1">
      <alignment horizontal="center" vertical="center" wrapText="1"/>
    </xf>
    <xf numFmtId="0" fontId="70" fillId="0" borderId="25" xfId="0" applyFont="1" applyBorder="1" applyAlignment="1">
      <alignment horizontal="center" vertical="center" wrapText="1"/>
    </xf>
    <xf numFmtId="0" fontId="70" fillId="0" borderId="25" xfId="38" applyFont="1" applyBorder="1" applyAlignment="1">
      <alignment horizontal="center" vertical="center" wrapText="1"/>
    </xf>
    <xf numFmtId="0" fontId="70" fillId="0" borderId="0" xfId="38" applyFont="1" applyAlignment="1">
      <alignment horizontal="center" vertical="center" wrapText="1"/>
    </xf>
    <xf numFmtId="0" fontId="70" fillId="0" borderId="3" xfId="0" applyFont="1" applyBorder="1" applyAlignment="1">
      <alignment horizontal="center" vertical="center" wrapText="1"/>
    </xf>
    <xf numFmtId="0" fontId="70" fillId="0" borderId="3" xfId="38" applyFont="1" applyBorder="1" applyAlignment="1">
      <alignment horizontal="center" vertical="center" wrapText="1"/>
    </xf>
    <xf numFmtId="0" fontId="70" fillId="0" borderId="0" xfId="0" applyFont="1" applyAlignment="1">
      <alignment horizontal="center" vertical="center" wrapText="1"/>
    </xf>
    <xf numFmtId="0" fontId="95" fillId="4" borderId="3" xfId="0" applyFont="1" applyFill="1" applyBorder="1" applyAlignment="1">
      <alignment horizontal="center" vertical="center"/>
    </xf>
    <xf numFmtId="0" fontId="95" fillId="4" borderId="9" xfId="0" applyFont="1" applyFill="1" applyBorder="1" applyAlignment="1">
      <alignment horizontal="center" vertical="center"/>
    </xf>
    <xf numFmtId="174" fontId="135" fillId="4" borderId="0" xfId="2" applyNumberFormat="1" applyFont="1" applyFill="1"/>
    <xf numFmtId="0" fontId="135" fillId="4" borderId="0" xfId="0" applyFont="1" applyFill="1"/>
    <xf numFmtId="174" fontId="18" fillId="0" borderId="0" xfId="0" applyNumberFormat="1" applyFont="1"/>
    <xf numFmtId="43" fontId="53" fillId="0" borderId="0" xfId="2" applyFont="1"/>
    <xf numFmtId="43" fontId="50" fillId="0" borderId="0" xfId="2" applyFont="1"/>
    <xf numFmtId="43" fontId="70" fillId="0" borderId="0" xfId="2" applyFont="1"/>
    <xf numFmtId="43" fontId="7" fillId="0" borderId="0" xfId="2" applyFont="1" applyAlignment="1">
      <alignment horizontal="center"/>
    </xf>
    <xf numFmtId="43" fontId="7" fillId="0" borderId="0" xfId="2" applyFont="1"/>
    <xf numFmtId="43" fontId="7" fillId="0" borderId="0" xfId="2" applyFont="1" applyBorder="1"/>
    <xf numFmtId="43" fontId="50" fillId="0" borderId="0" xfId="2" applyFont="1" applyBorder="1"/>
    <xf numFmtId="43" fontId="53" fillId="0" borderId="0" xfId="2" applyFont="1" applyBorder="1"/>
    <xf numFmtId="43" fontId="18" fillId="0" borderId="0" xfId="2" applyFont="1"/>
    <xf numFmtId="43" fontId="19" fillId="0" borderId="0" xfId="2" applyFont="1"/>
    <xf numFmtId="43" fontId="112" fillId="0" borderId="0" xfId="2" applyFont="1" applyAlignment="1">
      <alignment horizontal="center"/>
    </xf>
    <xf numFmtId="43" fontId="112" fillId="0" borderId="0" xfId="2" applyFont="1"/>
    <xf numFmtId="43" fontId="17" fillId="0" borderId="0" xfId="2" applyFont="1" applyBorder="1"/>
    <xf numFmtId="43" fontId="17" fillId="0" borderId="0" xfId="2" applyFont="1"/>
    <xf numFmtId="43" fontId="112" fillId="0" borderId="0" xfId="2" applyFont="1" applyBorder="1"/>
    <xf numFmtId="43" fontId="19" fillId="0" borderId="0" xfId="2" applyFont="1" applyBorder="1"/>
    <xf numFmtId="43" fontId="18" fillId="0" borderId="0" xfId="2" applyFont="1" applyBorder="1"/>
    <xf numFmtId="0" fontId="44" fillId="4" borderId="5" xfId="0" applyFont="1" applyFill="1" applyBorder="1" applyAlignment="1">
      <alignment horizontal="center" vertical="center" wrapText="1"/>
    </xf>
    <xf numFmtId="174" fontId="44" fillId="4" borderId="0" xfId="2" applyNumberFormat="1" applyFont="1" applyFill="1" applyBorder="1" applyAlignment="1">
      <alignment horizontal="center" vertical="center" wrapText="1"/>
    </xf>
    <xf numFmtId="174" fontId="60" fillId="4" borderId="5" xfId="2" applyNumberFormat="1" applyFont="1" applyFill="1" applyBorder="1" applyAlignment="1">
      <alignment horizontal="center" vertical="center" wrapText="1"/>
    </xf>
    <xf numFmtId="0" fontId="59" fillId="0" borderId="0" xfId="0" applyFont="1"/>
    <xf numFmtId="0" fontId="47" fillId="0" borderId="3" xfId="0" applyFont="1" applyBorder="1" applyAlignment="1">
      <alignment vertical="center" wrapText="1"/>
    </xf>
    <xf numFmtId="0" fontId="44" fillId="0" borderId="5" xfId="0" applyFont="1" applyBorder="1" applyAlignment="1">
      <alignment horizontal="center" vertical="center" wrapText="1"/>
    </xf>
    <xf numFmtId="0" fontId="44" fillId="0" borderId="5" xfId="0" applyFont="1" applyBorder="1" applyAlignment="1">
      <alignment vertical="center" wrapText="1"/>
    </xf>
    <xf numFmtId="0" fontId="44" fillId="0" borderId="6" xfId="0" applyFont="1" applyBorder="1" applyAlignment="1">
      <alignment horizontal="center" vertical="center" wrapText="1"/>
    </xf>
    <xf numFmtId="0" fontId="44" fillId="0" borderId="6" xfId="0" applyFont="1" applyBorder="1" applyAlignment="1">
      <alignment vertical="center" wrapText="1"/>
    </xf>
    <xf numFmtId="0" fontId="45" fillId="0" borderId="0" xfId="0" applyFont="1" applyAlignment="1">
      <alignment horizontal="center" vertical="center" wrapText="1"/>
    </xf>
    <xf numFmtId="0" fontId="48" fillId="0" borderId="5" xfId="0" applyFont="1" applyBorder="1" applyAlignment="1">
      <alignment vertical="center" wrapText="1"/>
    </xf>
    <xf numFmtId="174" fontId="44" fillId="0" borderId="5" xfId="2" applyNumberFormat="1" applyFont="1" applyBorder="1" applyAlignment="1">
      <alignment vertical="center" wrapText="1"/>
    </xf>
    <xf numFmtId="167" fontId="44" fillId="0" borderId="5" xfId="2" applyNumberFormat="1" applyFont="1" applyBorder="1" applyAlignment="1">
      <alignment vertical="center" wrapText="1"/>
    </xf>
    <xf numFmtId="0" fontId="44" fillId="0" borderId="4" xfId="0" applyFont="1" applyBorder="1" applyAlignment="1">
      <alignment horizontal="center" vertical="center" wrapText="1"/>
    </xf>
    <xf numFmtId="0" fontId="44" fillId="0" borderId="4" xfId="0" applyFont="1" applyBorder="1" applyAlignment="1">
      <alignment vertical="center" wrapText="1"/>
    </xf>
    <xf numFmtId="174" fontId="44" fillId="0" borderId="4" xfId="2" applyNumberFormat="1" applyFont="1" applyBorder="1" applyAlignment="1">
      <alignment vertical="center" wrapText="1"/>
    </xf>
    <xf numFmtId="167" fontId="44" fillId="0" borderId="4" xfId="2" applyNumberFormat="1" applyFont="1" applyBorder="1" applyAlignment="1">
      <alignment vertical="center" wrapText="1"/>
    </xf>
    <xf numFmtId="0" fontId="68" fillId="0" borderId="0" xfId="0" applyFont="1"/>
    <xf numFmtId="0" fontId="123" fillId="0" borderId="3" xfId="0" applyFont="1" applyBorder="1" applyAlignment="1">
      <alignment horizontal="center" vertical="center" wrapText="1"/>
    </xf>
    <xf numFmtId="0" fontId="136" fillId="0" borderId="0" xfId="0" applyFont="1"/>
    <xf numFmtId="174" fontId="44" fillId="0" borderId="6" xfId="2" applyNumberFormat="1" applyFont="1" applyBorder="1" applyAlignment="1">
      <alignment vertical="center" wrapText="1"/>
    </xf>
    <xf numFmtId="167" fontId="44" fillId="0" borderId="6" xfId="2" applyNumberFormat="1" applyFont="1" applyBorder="1" applyAlignment="1">
      <alignment vertical="center" wrapText="1"/>
    </xf>
    <xf numFmtId="167" fontId="47" fillId="4" borderId="0" xfId="2" applyNumberFormat="1" applyFont="1" applyFill="1" applyAlignment="1">
      <alignment vertical="center" wrapText="1"/>
    </xf>
    <xf numFmtId="167" fontId="49" fillId="4" borderId="0" xfId="2" applyNumberFormat="1" applyFont="1" applyFill="1" applyAlignment="1">
      <alignment vertical="center" wrapText="1"/>
    </xf>
    <xf numFmtId="0" fontId="47" fillId="4" borderId="5" xfId="0" applyFont="1" applyFill="1" applyBorder="1" applyAlignment="1">
      <alignment horizontal="center" vertical="center" wrapText="1"/>
    </xf>
    <xf numFmtId="0" fontId="47" fillId="4" borderId="5" xfId="0" applyFont="1" applyFill="1" applyBorder="1" applyAlignment="1">
      <alignment horizontal="left" vertical="center" wrapText="1"/>
    </xf>
    <xf numFmtId="0" fontId="44" fillId="4" borderId="5" xfId="0" applyFont="1" applyFill="1" applyBorder="1" applyAlignment="1">
      <alignment horizontal="left" vertical="center" wrapText="1"/>
    </xf>
    <xf numFmtId="181" fontId="115" fillId="4" borderId="0" xfId="0" applyNumberFormat="1" applyFont="1" applyFill="1"/>
    <xf numFmtId="178" fontId="45" fillId="4" borderId="0" xfId="0" applyNumberFormat="1" applyFont="1" applyFill="1"/>
    <xf numFmtId="183" fontId="60" fillId="4" borderId="0" xfId="0" applyNumberFormat="1" applyFont="1" applyFill="1"/>
    <xf numFmtId="3" fontId="137" fillId="0" borderId="3" xfId="0" applyNumberFormat="1" applyFont="1" applyBorder="1" applyAlignment="1">
      <alignment horizontal="center" vertical="center" wrapText="1"/>
    </xf>
    <xf numFmtId="0" fontId="137" fillId="0" borderId="3" xfId="0" applyFont="1" applyBorder="1" applyAlignment="1">
      <alignment horizontal="center" vertical="center" wrapText="1"/>
    </xf>
    <xf numFmtId="167" fontId="137" fillId="0" borderId="3" xfId="2" applyNumberFormat="1" applyFont="1" applyFill="1" applyBorder="1" applyAlignment="1">
      <alignment horizontal="center" vertical="center" wrapText="1"/>
    </xf>
    <xf numFmtId="43" fontId="137" fillId="0" borderId="3" xfId="2" applyFont="1" applyFill="1" applyBorder="1" applyAlignment="1">
      <alignment horizontal="center" vertical="center" wrapText="1"/>
    </xf>
    <xf numFmtId="0" fontId="60" fillId="0" borderId="4" xfId="2" applyNumberFormat="1" applyFont="1" applyFill="1" applyBorder="1" applyAlignment="1">
      <alignment horizontal="center" vertical="center" wrapText="1"/>
    </xf>
    <xf numFmtId="2" fontId="60" fillId="0" borderId="4" xfId="2" applyNumberFormat="1" applyFont="1" applyFill="1" applyBorder="1" applyAlignment="1">
      <alignment horizontal="left" vertical="center" wrapText="1"/>
    </xf>
    <xf numFmtId="177" fontId="60" fillId="0" borderId="4" xfId="2" applyNumberFormat="1" applyFont="1" applyFill="1" applyBorder="1" applyAlignment="1">
      <alignment vertical="center" wrapText="1"/>
    </xf>
    <xf numFmtId="177" fontId="60" fillId="0" borderId="4" xfId="2" applyNumberFormat="1" applyFont="1" applyFill="1" applyBorder="1" applyAlignment="1">
      <alignment vertical="center" wrapText="1" shrinkToFit="1"/>
    </xf>
    <xf numFmtId="2" fontId="60" fillId="0" borderId="4" xfId="2" applyNumberFormat="1" applyFont="1" applyFill="1" applyBorder="1" applyAlignment="1">
      <alignment horizontal="right" vertical="center" wrapText="1"/>
    </xf>
    <xf numFmtId="0" fontId="60" fillId="0" borderId="5" xfId="2" applyNumberFormat="1" applyFont="1" applyFill="1" applyBorder="1" applyAlignment="1">
      <alignment horizontal="center" vertical="center" wrapText="1"/>
    </xf>
    <xf numFmtId="2" fontId="60" fillId="0" borderId="5" xfId="2" applyNumberFormat="1" applyFont="1" applyFill="1" applyBorder="1" applyAlignment="1">
      <alignment horizontal="left" vertical="center" wrapText="1"/>
    </xf>
    <xf numFmtId="177" fontId="60" fillId="0" borderId="5" xfId="2" applyNumberFormat="1" applyFont="1" applyFill="1" applyBorder="1" applyAlignment="1">
      <alignment vertical="center" wrapText="1"/>
    </xf>
    <xf numFmtId="177" fontId="60" fillId="0" borderId="5" xfId="2" applyNumberFormat="1" applyFont="1" applyFill="1" applyBorder="1" applyAlignment="1">
      <alignment vertical="center" wrapText="1" shrinkToFit="1"/>
    </xf>
    <xf numFmtId="2" fontId="60" fillId="0" borderId="5" xfId="2" applyNumberFormat="1" applyFont="1" applyFill="1" applyBorder="1" applyAlignment="1">
      <alignment horizontal="right" vertical="center" wrapText="1"/>
    </xf>
    <xf numFmtId="167" fontId="43" fillId="4" borderId="0" xfId="2" applyNumberFormat="1" applyFont="1" applyFill="1"/>
    <xf numFmtId="167" fontId="50" fillId="4" borderId="0" xfId="2" applyNumberFormat="1" applyFont="1" applyFill="1" applyAlignment="1">
      <alignment horizontal="center" vertical="center" wrapText="1"/>
    </xf>
    <xf numFmtId="0" fontId="51" fillId="4" borderId="0" xfId="0" applyFont="1" applyFill="1" applyAlignment="1">
      <alignment horizontal="center" vertical="center" wrapText="1"/>
    </xf>
    <xf numFmtId="167" fontId="3" fillId="4" borderId="3" xfId="2"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3" xfId="2" applyNumberFormat="1" applyFont="1" applyFill="1" applyBorder="1" applyAlignment="1">
      <alignment horizontal="center" vertical="center" wrapText="1"/>
    </xf>
    <xf numFmtId="0" fontId="134" fillId="4" borderId="0" xfId="0" applyFont="1" applyFill="1" applyAlignment="1">
      <alignment horizontal="center" vertical="center" wrapText="1"/>
    </xf>
    <xf numFmtId="174" fontId="3" fillId="4" borderId="3" xfId="2" applyNumberFormat="1" applyFont="1" applyFill="1" applyBorder="1" applyAlignment="1">
      <alignment horizontal="right" vertical="center" wrapText="1"/>
    </xf>
    <xf numFmtId="0" fontId="44" fillId="4" borderId="7" xfId="0" applyFont="1" applyFill="1" applyBorder="1" applyAlignment="1">
      <alignment horizontal="center" vertical="center" wrapText="1"/>
    </xf>
    <xf numFmtId="0" fontId="44" fillId="4" borderId="7" xfId="0" applyFont="1" applyFill="1" applyBorder="1" applyAlignment="1">
      <alignment horizontal="left" vertical="center" wrapText="1"/>
    </xf>
    <xf numFmtId="174" fontId="44" fillId="4" borderId="7" xfId="2" applyNumberFormat="1" applyFont="1" applyFill="1" applyBorder="1" applyAlignment="1">
      <alignment horizontal="right" vertical="center" wrapText="1"/>
    </xf>
    <xf numFmtId="167" fontId="7" fillId="4" borderId="0" xfId="2" applyNumberFormat="1" applyFont="1" applyFill="1" applyBorder="1" applyAlignment="1">
      <alignment horizontal="center" vertical="center" wrapText="1"/>
    </xf>
    <xf numFmtId="0" fontId="109" fillId="4" borderId="0" xfId="0" applyFont="1" applyFill="1"/>
    <xf numFmtId="0" fontId="98" fillId="4" borderId="0" xfId="0" applyFont="1" applyFill="1"/>
    <xf numFmtId="167" fontId="98" fillId="4" borderId="0" xfId="0" applyNumberFormat="1" applyFont="1" applyFill="1"/>
    <xf numFmtId="167" fontId="139" fillId="4" borderId="0" xfId="2" applyNumberFormat="1" applyFont="1" applyFill="1" applyAlignment="1"/>
    <xf numFmtId="167" fontId="98" fillId="4" borderId="0" xfId="2" applyNumberFormat="1" applyFont="1" applyFill="1" applyAlignment="1"/>
    <xf numFmtId="0" fontId="60" fillId="4" borderId="0" xfId="0" applyFont="1" applyFill="1"/>
    <xf numFmtId="0" fontId="62" fillId="4" borderId="13" xfId="0" applyFont="1" applyFill="1" applyBorder="1" applyAlignment="1">
      <alignment horizontal="center"/>
    </xf>
    <xf numFmtId="167" fontId="98" fillId="4" borderId="0" xfId="2" applyNumberFormat="1" applyFont="1" applyFill="1" applyBorder="1" applyAlignment="1"/>
    <xf numFmtId="170" fontId="98" fillId="4" borderId="0" xfId="2" applyNumberFormat="1" applyFont="1" applyFill="1" applyBorder="1" applyAlignment="1"/>
    <xf numFmtId="167" fontId="137" fillId="4" borderId="0" xfId="2" applyNumberFormat="1" applyFont="1" applyFill="1" applyBorder="1" applyAlignment="1"/>
    <xf numFmtId="0" fontId="140" fillId="4" borderId="3" xfId="0" applyFont="1" applyFill="1" applyBorder="1" applyAlignment="1">
      <alignment horizontal="center" vertical="center" wrapText="1"/>
    </xf>
    <xf numFmtId="0" fontId="137" fillId="4" borderId="3" xfId="0" applyFont="1" applyFill="1" applyBorder="1" applyAlignment="1">
      <alignment horizontal="center" vertical="center" wrapText="1"/>
    </xf>
    <xf numFmtId="0" fontId="68" fillId="4" borderId="0" xfId="0" applyFont="1" applyFill="1" applyAlignment="1">
      <alignment horizontal="center"/>
    </xf>
    <xf numFmtId="170" fontId="60" fillId="4" borderId="0" xfId="2" applyNumberFormat="1" applyFont="1" applyFill="1" applyAlignment="1"/>
    <xf numFmtId="174" fontId="45" fillId="4" borderId="13" xfId="2" applyNumberFormat="1" applyFont="1" applyFill="1" applyBorder="1" applyAlignment="1">
      <alignment horizontal="center"/>
    </xf>
    <xf numFmtId="174" fontId="38" fillId="4" borderId="0" xfId="0" applyNumberFormat="1" applyFont="1" applyFill="1"/>
    <xf numFmtId="181" fontId="52" fillId="4" borderId="0" xfId="0" applyNumberFormat="1" applyFont="1" applyFill="1"/>
    <xf numFmtId="174" fontId="55" fillId="4" borderId="0" xfId="2" applyNumberFormat="1" applyFont="1" applyFill="1" applyBorder="1" applyAlignment="1">
      <alignment horizontal="center" wrapText="1"/>
    </xf>
    <xf numFmtId="166" fontId="51" fillId="4" borderId="0" xfId="2" applyNumberFormat="1" applyFont="1" applyFill="1" applyBorder="1" applyAlignment="1">
      <alignment horizontal="center" wrapText="1"/>
    </xf>
    <xf numFmtId="179" fontId="53" fillId="4" borderId="0" xfId="0" applyNumberFormat="1" applyFont="1" applyFill="1"/>
    <xf numFmtId="179" fontId="50" fillId="4" borderId="0" xfId="0" applyNumberFormat="1" applyFont="1" applyFill="1"/>
    <xf numFmtId="43" fontId="53" fillId="4" borderId="0" xfId="2" applyFont="1" applyFill="1" applyBorder="1" applyAlignment="1">
      <alignment wrapText="1"/>
    </xf>
    <xf numFmtId="172" fontId="50" fillId="4" borderId="0" xfId="2" applyNumberFormat="1" applyFont="1" applyFill="1"/>
    <xf numFmtId="172" fontId="3" fillId="4" borderId="3" xfId="2" applyNumberFormat="1" applyFont="1" applyFill="1" applyBorder="1" applyAlignment="1">
      <alignment horizontal="center" vertical="center" wrapText="1"/>
    </xf>
    <xf numFmtId="172" fontId="54" fillId="4" borderId="4" xfId="2" applyNumberFormat="1" applyFont="1" applyFill="1" applyBorder="1" applyAlignment="1">
      <alignment vertical="center" wrapText="1"/>
    </xf>
    <xf numFmtId="172" fontId="54" fillId="4" borderId="5" xfId="2" applyNumberFormat="1" applyFont="1" applyFill="1" applyBorder="1" applyAlignment="1">
      <alignment vertical="center" wrapText="1"/>
    </xf>
    <xf numFmtId="172" fontId="50" fillId="4" borderId="5" xfId="2" applyNumberFormat="1" applyFont="1" applyFill="1" applyBorder="1" applyAlignment="1">
      <alignment vertical="center" wrapText="1"/>
    </xf>
    <xf numFmtId="172" fontId="54" fillId="4" borderId="5" xfId="2" applyNumberFormat="1" applyFont="1" applyFill="1" applyBorder="1" applyAlignment="1">
      <alignment horizontal="right" vertical="center" wrapText="1"/>
    </xf>
    <xf numFmtId="172" fontId="54" fillId="4" borderId="6" xfId="2" applyNumberFormat="1" applyFont="1" applyFill="1" applyBorder="1" applyAlignment="1">
      <alignment vertical="center" wrapText="1"/>
    </xf>
    <xf numFmtId="172" fontId="50" fillId="4" borderId="0" xfId="0" applyNumberFormat="1" applyFont="1" applyFill="1"/>
    <xf numFmtId="174" fontId="43" fillId="4" borderId="0" xfId="2" applyNumberFormat="1" applyFont="1" applyFill="1"/>
    <xf numFmtId="174" fontId="43" fillId="4" borderId="0" xfId="2" applyNumberFormat="1" applyFont="1" applyFill="1" applyAlignment="1">
      <alignment horizontal="center"/>
    </xf>
    <xf numFmtId="0" fontId="47" fillId="4" borderId="0" xfId="0" applyFont="1" applyFill="1" applyAlignment="1">
      <alignment horizontal="center" vertical="center" wrapText="1"/>
    </xf>
    <xf numFmtId="3" fontId="45" fillId="4" borderId="0" xfId="0" applyNumberFormat="1" applyFont="1" applyFill="1" applyAlignment="1">
      <alignment horizontal="center"/>
    </xf>
    <xf numFmtId="174" fontId="98" fillId="4" borderId="0" xfId="2" applyNumberFormat="1" applyFont="1" applyFill="1"/>
    <xf numFmtId="174" fontId="98" fillId="4" borderId="13" xfId="2" applyNumberFormat="1" applyFont="1" applyFill="1" applyBorder="1" applyAlignment="1"/>
    <xf numFmtId="166" fontId="60" fillId="4" borderId="0" xfId="2" applyNumberFormat="1" applyFont="1" applyFill="1"/>
    <xf numFmtId="174" fontId="98" fillId="4" borderId="13" xfId="2" applyNumberFormat="1" applyFont="1" applyFill="1" applyBorder="1" applyAlignment="1">
      <alignment horizontal="center"/>
    </xf>
    <xf numFmtId="174" fontId="98" fillId="4" borderId="13" xfId="2" applyNumberFormat="1" applyFont="1" applyFill="1" applyBorder="1"/>
    <xf numFmtId="181" fontId="109" fillId="4" borderId="13" xfId="0" applyNumberFormat="1" applyFont="1" applyFill="1" applyBorder="1"/>
    <xf numFmtId="176" fontId="98" fillId="4" borderId="13" xfId="2" applyNumberFormat="1" applyFont="1" applyFill="1" applyBorder="1"/>
    <xf numFmtId="174" fontId="60" fillId="4" borderId="13" xfId="2" applyNumberFormat="1" applyFont="1" applyFill="1" applyBorder="1" applyAlignment="1">
      <alignment horizontal="center"/>
    </xf>
    <xf numFmtId="169" fontId="60" fillId="4" borderId="13" xfId="2" applyNumberFormat="1" applyFont="1" applyFill="1" applyBorder="1" applyAlignment="1"/>
    <xf numFmtId="167" fontId="60" fillId="4" borderId="13" xfId="2" applyNumberFormat="1" applyFont="1" applyFill="1" applyBorder="1" applyAlignment="1"/>
    <xf numFmtId="3" fontId="137" fillId="4" borderId="3" xfId="2" applyNumberFormat="1" applyFont="1" applyFill="1" applyBorder="1" applyAlignment="1">
      <alignment horizontal="center" vertical="center" wrapText="1"/>
    </xf>
    <xf numFmtId="167" fontId="137" fillId="4" borderId="3" xfId="2" applyNumberFormat="1" applyFont="1" applyFill="1" applyBorder="1" applyAlignment="1">
      <alignment horizontal="center" vertical="center" wrapText="1"/>
    </xf>
    <xf numFmtId="37" fontId="137" fillId="4" borderId="3" xfId="2" applyNumberFormat="1" applyFont="1" applyFill="1" applyBorder="1" applyAlignment="1">
      <alignment horizontal="center" vertical="center" wrapText="1"/>
    </xf>
    <xf numFmtId="37" fontId="137" fillId="4" borderId="21" xfId="2" applyNumberFormat="1" applyFont="1" applyFill="1" applyBorder="1" applyAlignment="1">
      <alignment horizontal="center" vertical="center" wrapText="1"/>
    </xf>
    <xf numFmtId="167" fontId="137" fillId="4" borderId="0" xfId="2" applyNumberFormat="1" applyFont="1" applyFill="1" applyAlignment="1">
      <alignment horizontal="center"/>
    </xf>
    <xf numFmtId="3" fontId="44" fillId="4" borderId="0" xfId="0" applyNumberFormat="1" applyFont="1" applyFill="1" applyAlignment="1">
      <alignment horizontal="center" vertical="center"/>
    </xf>
    <xf numFmtId="167" fontId="48" fillId="4" borderId="0" xfId="2" applyNumberFormat="1" applyFont="1" applyFill="1" applyBorder="1" applyAlignment="1">
      <alignment vertical="center" wrapText="1"/>
    </xf>
    <xf numFmtId="3" fontId="85" fillId="4" borderId="0" xfId="0" applyNumberFormat="1" applyFont="1" applyFill="1" applyAlignment="1">
      <alignment horizontal="center"/>
    </xf>
    <xf numFmtId="174" fontId="85" fillId="4" borderId="0" xfId="2" applyNumberFormat="1" applyFont="1" applyFill="1"/>
    <xf numFmtId="167" fontId="84" fillId="4" borderId="0" xfId="2" applyNumberFormat="1" applyFont="1" applyFill="1" applyAlignment="1">
      <alignment vertical="center" wrapText="1"/>
    </xf>
    <xf numFmtId="174" fontId="138" fillId="4" borderId="5" xfId="2" applyNumberFormat="1" applyFont="1" applyFill="1" applyBorder="1" applyAlignment="1">
      <alignment horizontal="center" vertical="center" wrapText="1"/>
    </xf>
    <xf numFmtId="0" fontId="141" fillId="4" borderId="3" xfId="0" applyFont="1" applyFill="1" applyBorder="1" applyAlignment="1">
      <alignment horizontal="center" vertical="center" wrapText="1"/>
    </xf>
    <xf numFmtId="167" fontId="141" fillId="4" borderId="3" xfId="2" applyNumberFormat="1" applyFont="1" applyFill="1" applyBorder="1" applyAlignment="1">
      <alignment horizontal="center" vertical="center" wrapText="1"/>
    </xf>
    <xf numFmtId="171" fontId="46" fillId="4" borderId="0" xfId="0" applyNumberFormat="1" applyFont="1" applyFill="1"/>
    <xf numFmtId="174" fontId="46" fillId="4" borderId="0" xfId="0" applyNumberFormat="1" applyFont="1" applyFill="1"/>
    <xf numFmtId="0" fontId="142" fillId="4" borderId="0" xfId="0" applyFont="1" applyFill="1"/>
    <xf numFmtId="0" fontId="143" fillId="4" borderId="0" xfId="0" applyFont="1" applyFill="1"/>
    <xf numFmtId="174" fontId="45" fillId="4" borderId="0" xfId="0" applyNumberFormat="1" applyFont="1" applyFill="1" applyAlignment="1">
      <alignment horizontal="center" vertical="center" wrapText="1"/>
    </xf>
    <xf numFmtId="43" fontId="47" fillId="4" borderId="0" xfId="2" applyFont="1" applyFill="1" applyBorder="1" applyAlignment="1">
      <alignment horizontal="center" vertical="center" wrapText="1"/>
    </xf>
    <xf numFmtId="174" fontId="47" fillId="4" borderId="0" xfId="2" applyNumberFormat="1" applyFont="1" applyFill="1" applyBorder="1" applyAlignment="1">
      <alignment horizontal="center" vertical="center" wrapText="1"/>
    </xf>
    <xf numFmtId="174" fontId="47" fillId="4" borderId="0" xfId="2" applyNumberFormat="1" applyFont="1" applyFill="1" applyAlignment="1">
      <alignment horizontal="center" vertical="center" wrapText="1"/>
    </xf>
    <xf numFmtId="181" fontId="45" fillId="4" borderId="0" xfId="0" applyNumberFormat="1" applyFont="1" applyFill="1" applyAlignment="1">
      <alignment horizontal="center" vertical="center" wrapText="1"/>
    </xf>
    <xf numFmtId="174" fontId="48" fillId="4" borderId="0" xfId="2" applyNumberFormat="1" applyFont="1" applyFill="1" applyAlignment="1">
      <alignment horizontal="center" vertical="center" wrapText="1"/>
    </xf>
    <xf numFmtId="181" fontId="44" fillId="4" borderId="0" xfId="0" applyNumberFormat="1" applyFont="1" applyFill="1" applyAlignment="1">
      <alignment horizontal="center" vertical="center" wrapText="1"/>
    </xf>
    <xf numFmtId="0" fontId="48" fillId="0" borderId="3" xfId="0" applyFont="1" applyBorder="1" applyAlignment="1">
      <alignment horizontal="center" vertical="center" wrapText="1"/>
    </xf>
    <xf numFmtId="181" fontId="141" fillId="4" borderId="0" xfId="0" applyNumberFormat="1" applyFont="1" applyFill="1" applyAlignment="1">
      <alignment horizontal="center" vertical="center" wrapText="1"/>
    </xf>
    <xf numFmtId="174" fontId="141" fillId="4" borderId="0" xfId="2" applyNumberFormat="1" applyFont="1" applyFill="1" applyBorder="1" applyAlignment="1">
      <alignment horizontal="center" vertical="center" wrapText="1"/>
    </xf>
    <xf numFmtId="0" fontId="141" fillId="4" borderId="0" xfId="0" applyFont="1" applyFill="1" applyAlignment="1">
      <alignment horizontal="center" vertical="center" wrapText="1"/>
    </xf>
    <xf numFmtId="177" fontId="47" fillId="0" borderId="5" xfId="2" applyNumberFormat="1" applyFont="1" applyFill="1" applyBorder="1" applyAlignment="1">
      <alignment horizontal="right" vertical="center" wrapText="1"/>
    </xf>
    <xf numFmtId="177" fontId="44" fillId="0" borderId="5" xfId="2" applyNumberFormat="1" applyFont="1" applyFill="1" applyBorder="1" applyAlignment="1">
      <alignment horizontal="right" vertical="center" wrapText="1"/>
    </xf>
    <xf numFmtId="166" fontId="45" fillId="4" borderId="0" xfId="2" applyNumberFormat="1" applyFont="1" applyFill="1" applyAlignment="1">
      <alignment horizontal="center" vertical="center" wrapText="1"/>
    </xf>
    <xf numFmtId="174" fontId="45" fillId="4" borderId="0" xfId="2" applyNumberFormat="1" applyFont="1" applyFill="1" applyAlignment="1">
      <alignment horizontal="center" vertical="center" wrapText="1"/>
    </xf>
    <xf numFmtId="173" fontId="143" fillId="4" borderId="0" xfId="2" applyNumberFormat="1" applyFont="1" applyFill="1"/>
    <xf numFmtId="171" fontId="143" fillId="4" borderId="0" xfId="0" applyNumberFormat="1" applyFont="1" applyFill="1"/>
    <xf numFmtId="174" fontId="143" fillId="4" borderId="0" xfId="2" applyNumberFormat="1" applyFont="1" applyFill="1"/>
    <xf numFmtId="174" fontId="138" fillId="4" borderId="0" xfId="2" applyNumberFormat="1" applyFont="1" applyFill="1" applyAlignment="1">
      <alignment horizontal="center" vertical="center"/>
    </xf>
    <xf numFmtId="166" fontId="138" fillId="4" borderId="5" xfId="2" applyNumberFormat="1" applyFont="1" applyFill="1" applyBorder="1" applyAlignment="1">
      <alignment horizontal="center" vertical="center" wrapText="1"/>
    </xf>
    <xf numFmtId="0" fontId="138" fillId="4" borderId="0" xfId="0" applyFont="1" applyFill="1" applyAlignment="1">
      <alignment horizontal="center" vertical="center"/>
    </xf>
    <xf numFmtId="173" fontId="138" fillId="4" borderId="0" xfId="2" applyNumberFormat="1" applyFont="1" applyFill="1" applyAlignment="1">
      <alignment horizontal="center" vertical="center"/>
    </xf>
    <xf numFmtId="0" fontId="138" fillId="4" borderId="0" xfId="0" applyFont="1" applyFill="1"/>
    <xf numFmtId="43" fontId="141" fillId="4" borderId="3" xfId="2" applyFont="1" applyFill="1" applyBorder="1" applyAlignment="1">
      <alignment horizontal="center" vertical="center" wrapText="1"/>
    </xf>
    <xf numFmtId="166" fontId="141" fillId="4" borderId="3" xfId="2" applyNumberFormat="1" applyFont="1" applyFill="1" applyBorder="1" applyAlignment="1">
      <alignment horizontal="center" vertical="center" wrapText="1"/>
    </xf>
    <xf numFmtId="0" fontId="141" fillId="4" borderId="0" xfId="0" applyFont="1" applyFill="1"/>
    <xf numFmtId="166" fontId="60" fillId="4" borderId="4" xfId="2" applyNumberFormat="1" applyFont="1" applyFill="1" applyBorder="1" applyAlignment="1">
      <alignment horizontal="center" vertical="center" wrapText="1"/>
    </xf>
    <xf numFmtId="0" fontId="116" fillId="4" borderId="0" xfId="0" applyFont="1" applyFill="1"/>
    <xf numFmtId="166" fontId="60" fillId="4" borderId="5" xfId="2" applyNumberFormat="1" applyFont="1" applyFill="1" applyBorder="1" applyAlignment="1">
      <alignment horizontal="center" vertical="center" wrapText="1"/>
    </xf>
    <xf numFmtId="166" fontId="45" fillId="4" borderId="0" xfId="2" applyNumberFormat="1" applyFont="1" applyFill="1"/>
    <xf numFmtId="174" fontId="144" fillId="4" borderId="5" xfId="2" applyNumberFormat="1" applyFont="1" applyFill="1" applyBorder="1" applyAlignment="1">
      <alignment horizontal="center" vertical="center" wrapText="1"/>
    </xf>
    <xf numFmtId="174" fontId="145" fillId="4" borderId="5" xfId="2" applyNumberFormat="1" applyFont="1" applyFill="1" applyBorder="1" applyAlignment="1">
      <alignment horizontal="center" vertical="center" wrapText="1"/>
    </xf>
    <xf numFmtId="169" fontId="144" fillId="4" borderId="5" xfId="2" applyNumberFormat="1" applyFont="1" applyFill="1" applyBorder="1" applyAlignment="1">
      <alignment horizontal="center" vertical="center" wrapText="1"/>
    </xf>
    <xf numFmtId="166" fontId="144" fillId="4" borderId="5" xfId="2" applyNumberFormat="1" applyFont="1" applyFill="1" applyBorder="1" applyAlignment="1">
      <alignment vertical="center" wrapText="1"/>
    </xf>
    <xf numFmtId="166" fontId="144" fillId="4" borderId="5" xfId="2" applyNumberFormat="1" applyFont="1" applyFill="1" applyBorder="1" applyAlignment="1">
      <alignment vertical="center"/>
    </xf>
    <xf numFmtId="172" fontId="144" fillId="4" borderId="5" xfId="2" applyNumberFormat="1" applyFont="1" applyFill="1" applyBorder="1" applyAlignment="1">
      <alignment horizontal="center" vertical="center" wrapText="1"/>
    </xf>
    <xf numFmtId="166" fontId="143" fillId="4" borderId="0" xfId="2" applyNumberFormat="1" applyFont="1" applyFill="1"/>
    <xf numFmtId="172" fontId="143" fillId="4" borderId="0" xfId="2" applyNumberFormat="1" applyFont="1" applyFill="1"/>
    <xf numFmtId="169" fontId="143" fillId="4" borderId="0" xfId="2" applyNumberFormat="1" applyFont="1" applyFill="1"/>
    <xf numFmtId="43" fontId="50" fillId="0" borderId="0" xfId="2" applyFont="1" applyFill="1" applyAlignment="1">
      <alignment horizontal="center" vertical="center" wrapText="1"/>
    </xf>
    <xf numFmtId="43" fontId="3" fillId="0" borderId="0" xfId="2" applyFont="1" applyFill="1" applyBorder="1" applyAlignment="1">
      <alignment vertical="center" wrapText="1"/>
    </xf>
    <xf numFmtId="0" fontId="53" fillId="0" borderId="0" xfId="0" applyFont="1" applyAlignment="1">
      <alignment horizontal="center" vertical="center" wrapText="1"/>
    </xf>
    <xf numFmtId="180" fontId="50" fillId="0" borderId="0" xfId="0" applyNumberFormat="1" applyFont="1" applyAlignment="1">
      <alignment horizontal="center" vertical="center" wrapText="1"/>
    </xf>
    <xf numFmtId="167" fontId="50" fillId="0" borderId="0" xfId="2" applyNumberFormat="1" applyFont="1" applyFill="1" applyAlignment="1">
      <alignment horizontal="center" vertical="center" wrapText="1"/>
    </xf>
    <xf numFmtId="167" fontId="73" fillId="0" borderId="0" xfId="2" applyNumberFormat="1" applyFont="1" applyFill="1" applyAlignment="1">
      <alignment horizontal="center" vertical="center" wrapText="1"/>
    </xf>
    <xf numFmtId="174" fontId="50" fillId="0" borderId="0" xfId="2" applyNumberFormat="1" applyFont="1" applyFill="1" applyAlignment="1">
      <alignment horizontal="center" vertical="center" wrapText="1"/>
    </xf>
    <xf numFmtId="167" fontId="10" fillId="0" borderId="0" xfId="2" applyNumberFormat="1" applyFont="1" applyFill="1" applyAlignment="1">
      <alignment horizontal="center" vertical="center" wrapText="1"/>
    </xf>
    <xf numFmtId="0" fontId="22" fillId="0" borderId="21" xfId="0" applyFont="1" applyBorder="1" applyAlignment="1">
      <alignment horizontal="center" vertical="center" wrapText="1"/>
    </xf>
    <xf numFmtId="43" fontId="22" fillId="0" borderId="21" xfId="2" applyFont="1" applyFill="1" applyBorder="1" applyAlignment="1">
      <alignment horizontal="center" vertical="center" wrapText="1"/>
    </xf>
    <xf numFmtId="0" fontId="70" fillId="0" borderId="25" xfId="2" applyNumberFormat="1" applyFont="1" applyFill="1" applyBorder="1" applyAlignment="1">
      <alignment horizontal="center" vertical="center" wrapText="1"/>
    </xf>
    <xf numFmtId="174" fontId="50" fillId="4" borderId="5" xfId="2" applyNumberFormat="1" applyFont="1" applyFill="1" applyBorder="1" applyAlignment="1">
      <alignment horizontal="justify" vertical="center" wrapText="1"/>
    </xf>
    <xf numFmtId="0" fontId="54" fillId="4" borderId="5" xfId="0" applyFont="1" applyFill="1" applyBorder="1" applyAlignment="1">
      <alignment horizontal="justify" vertical="center" wrapText="1"/>
    </xf>
    <xf numFmtId="172" fontId="54" fillId="4" borderId="5" xfId="2" applyNumberFormat="1" applyFont="1" applyFill="1" applyBorder="1" applyAlignment="1">
      <alignment horizontal="center" vertical="center" wrapText="1"/>
    </xf>
    <xf numFmtId="172" fontId="50" fillId="4" borderId="5" xfId="2" applyNumberFormat="1" applyFont="1" applyFill="1" applyBorder="1" applyAlignment="1">
      <alignment horizontal="center" vertical="center" wrapText="1"/>
    </xf>
    <xf numFmtId="0" fontId="54" fillId="4" borderId="6" xfId="0" applyFont="1" applyFill="1" applyBorder="1" applyAlignment="1">
      <alignment horizontal="center" vertical="center" wrapText="1"/>
    </xf>
    <xf numFmtId="0" fontId="54" fillId="4" borderId="6" xfId="0" applyFont="1" applyFill="1" applyBorder="1" applyAlignment="1">
      <alignment vertical="center" wrapText="1"/>
    </xf>
    <xf numFmtId="0" fontId="50" fillId="4" borderId="6" xfId="0" applyFont="1" applyFill="1" applyBorder="1" applyAlignment="1">
      <alignment vertical="center"/>
    </xf>
    <xf numFmtId="182" fontId="43" fillId="4" borderId="0" xfId="0" applyNumberFormat="1" applyFont="1" applyFill="1"/>
    <xf numFmtId="176" fontId="138" fillId="4" borderId="0" xfId="2" applyNumberFormat="1" applyFont="1" applyFill="1" applyAlignment="1">
      <alignment horizontal="center" vertical="center"/>
    </xf>
    <xf numFmtId="181" fontId="138" fillId="4" borderId="0" xfId="0" applyNumberFormat="1" applyFont="1" applyFill="1" applyAlignment="1">
      <alignment horizontal="center" vertical="center"/>
    </xf>
    <xf numFmtId="181" fontId="46" fillId="4" borderId="0" xfId="0" applyNumberFormat="1" applyFont="1" applyFill="1"/>
    <xf numFmtId="184" fontId="43" fillId="4" borderId="0" xfId="0" applyNumberFormat="1" applyFont="1" applyFill="1"/>
    <xf numFmtId="0" fontId="26" fillId="0" borderId="21" xfId="0" applyFont="1" applyBorder="1" applyAlignment="1">
      <alignment horizontal="center" vertical="center" wrapText="1"/>
    </xf>
    <xf numFmtId="0" fontId="26" fillId="0" borderId="21" xfId="0" applyFont="1" applyBorder="1" applyAlignment="1">
      <alignment vertical="center" wrapText="1"/>
    </xf>
    <xf numFmtId="0" fontId="147" fillId="0" borderId="21" xfId="0" applyFont="1" applyBorder="1" applyAlignment="1">
      <alignment horizontal="center" vertical="center" wrapText="1"/>
    </xf>
    <xf numFmtId="0" fontId="147" fillId="0" borderId="21" xfId="0" applyFont="1" applyBorder="1" applyAlignment="1">
      <alignment vertical="center" wrapText="1"/>
    </xf>
    <xf numFmtId="0" fontId="46" fillId="4" borderId="21" xfId="0" applyFont="1" applyFill="1" applyBorder="1" applyAlignment="1">
      <alignment horizontal="center" wrapText="1"/>
    </xf>
    <xf numFmtId="0" fontId="46" fillId="4" borderId="21" xfId="0" applyFont="1" applyFill="1" applyBorder="1" applyAlignment="1">
      <alignment wrapText="1"/>
    </xf>
    <xf numFmtId="174" fontId="46" fillId="4" borderId="21" xfId="2" applyNumberFormat="1" applyFont="1" applyFill="1" applyBorder="1" applyAlignment="1">
      <alignment horizontal="center" wrapText="1"/>
    </xf>
    <xf numFmtId="184" fontId="46" fillId="4" borderId="21" xfId="2" applyNumberFormat="1" applyFont="1" applyFill="1" applyBorder="1" applyAlignment="1">
      <alignment horizontal="right" wrapText="1"/>
    </xf>
    <xf numFmtId="174" fontId="46" fillId="4" borderId="21" xfId="0" applyNumberFormat="1" applyFont="1" applyFill="1" applyBorder="1" applyAlignment="1">
      <alignment horizontal="center" wrapText="1"/>
    </xf>
    <xf numFmtId="43" fontId="46" fillId="4" borderId="21" xfId="2" applyFont="1" applyFill="1" applyBorder="1" applyAlignment="1">
      <alignment horizontal="center" wrapText="1"/>
    </xf>
    <xf numFmtId="0" fontId="43" fillId="4" borderId="21" xfId="0" applyFont="1" applyFill="1" applyBorder="1" applyAlignment="1">
      <alignment horizontal="center" wrapText="1"/>
    </xf>
    <xf numFmtId="0" fontId="43" fillId="4" borderId="21" xfId="0" applyFont="1" applyFill="1" applyBorder="1" applyAlignment="1">
      <alignment wrapText="1"/>
    </xf>
    <xf numFmtId="174" fontId="43" fillId="4" borderId="21" xfId="2" applyNumberFormat="1" applyFont="1" applyFill="1" applyBorder="1" applyAlignment="1">
      <alignment horizontal="center" wrapText="1"/>
    </xf>
    <xf numFmtId="184" fontId="43" fillId="4" borderId="21" xfId="2" applyNumberFormat="1" applyFont="1" applyFill="1" applyBorder="1" applyAlignment="1">
      <alignment horizontal="right" wrapText="1"/>
    </xf>
    <xf numFmtId="174" fontId="43" fillId="4" borderId="21" xfId="0" applyNumberFormat="1" applyFont="1" applyFill="1" applyBorder="1" applyAlignment="1">
      <alignment horizontal="center" wrapText="1"/>
    </xf>
    <xf numFmtId="43" fontId="43" fillId="4" borderId="21" xfId="2" applyFont="1" applyFill="1" applyBorder="1" applyAlignment="1">
      <alignment horizontal="center" wrapText="1"/>
    </xf>
    <xf numFmtId="0" fontId="43" fillId="4" borderId="21" xfId="0" applyFont="1" applyFill="1" applyBorder="1" applyAlignment="1">
      <alignment horizontal="justify" wrapText="1"/>
    </xf>
    <xf numFmtId="0" fontId="61" fillId="4" borderId="21" xfId="0" applyFont="1" applyFill="1" applyBorder="1" applyAlignment="1">
      <alignment horizontal="justify" wrapText="1"/>
    </xf>
    <xf numFmtId="0" fontId="123" fillId="4" borderId="21" xfId="0" applyFont="1" applyFill="1" applyBorder="1" applyAlignment="1">
      <alignment horizontal="justify"/>
    </xf>
    <xf numFmtId="174" fontId="45" fillId="4" borderId="21" xfId="2" applyNumberFormat="1" applyFont="1" applyFill="1" applyBorder="1"/>
    <xf numFmtId="0" fontId="45" fillId="4" borderId="21" xfId="0" applyFont="1" applyFill="1" applyBorder="1"/>
    <xf numFmtId="0" fontId="5" fillId="0" borderId="21" xfId="0" applyFont="1" applyBorder="1" applyAlignment="1">
      <alignment vertical="center" wrapText="1"/>
    </xf>
    <xf numFmtId="0" fontId="43" fillId="4" borderId="21" xfId="0" applyFont="1" applyFill="1" applyBorder="1" applyAlignment="1">
      <alignment horizontal="center" vertical="center" wrapText="1"/>
    </xf>
    <xf numFmtId="43" fontId="26" fillId="0" borderId="21" xfId="2" applyFont="1" applyBorder="1" applyAlignment="1">
      <alignment horizontal="center" vertical="center" wrapText="1"/>
    </xf>
    <xf numFmtId="0" fontId="5" fillId="0" borderId="21" xfId="0" applyFont="1" applyBorder="1" applyAlignment="1">
      <alignment horizontal="center" vertical="center" wrapText="1"/>
    </xf>
    <xf numFmtId="0" fontId="148" fillId="0" borderId="0" xfId="0" applyFont="1"/>
    <xf numFmtId="0" fontId="21" fillId="0" borderId="0" xfId="0" applyFont="1"/>
    <xf numFmtId="43" fontId="5" fillId="0" borderId="21" xfId="2" applyFont="1" applyBorder="1" applyAlignment="1">
      <alignment horizontal="center" vertical="center" wrapText="1"/>
    </xf>
    <xf numFmtId="0" fontId="149" fillId="0" borderId="0" xfId="0" applyFont="1"/>
    <xf numFmtId="0" fontId="6" fillId="0" borderId="21" xfId="0" applyFont="1" applyBorder="1" applyAlignment="1">
      <alignment horizontal="center" vertical="center" wrapText="1"/>
    </xf>
    <xf numFmtId="0" fontId="150" fillId="0" borderId="0" xfId="0" applyFont="1"/>
    <xf numFmtId="0" fontId="5" fillId="4" borderId="21" xfId="0" applyFont="1" applyFill="1" applyBorder="1" applyAlignment="1">
      <alignment horizontal="center" vertical="center" wrapText="1"/>
    </xf>
    <xf numFmtId="0" fontId="5" fillId="4" borderId="21" xfId="0" applyFont="1" applyFill="1" applyBorder="1" applyAlignment="1">
      <alignment vertical="center" wrapText="1"/>
    </xf>
    <xf numFmtId="43" fontId="5" fillId="4" borderId="21" xfId="2" applyFont="1" applyFill="1" applyBorder="1" applyAlignment="1">
      <alignment horizontal="center" vertical="center" wrapText="1"/>
    </xf>
    <xf numFmtId="174" fontId="5" fillId="4" borderId="21" xfId="2" applyNumberFormat="1" applyFont="1" applyFill="1" applyBorder="1" applyAlignment="1">
      <alignment horizontal="center" vertical="center" wrapText="1"/>
    </xf>
    <xf numFmtId="0" fontId="148" fillId="4" borderId="0" xfId="0" applyFont="1" applyFill="1"/>
    <xf numFmtId="0" fontId="26" fillId="4" borderId="21" xfId="0" applyFont="1" applyFill="1" applyBorder="1" applyAlignment="1">
      <alignment horizontal="center" vertical="center" wrapText="1"/>
    </xf>
    <xf numFmtId="0" fontId="26" fillId="4" borderId="21" xfId="0" applyFont="1" applyFill="1" applyBorder="1" applyAlignment="1">
      <alignment vertical="center" wrapText="1"/>
    </xf>
    <xf numFmtId="43" fontId="26" fillId="4" borderId="21" xfId="2" applyFont="1" applyFill="1" applyBorder="1" applyAlignment="1">
      <alignment horizontal="center" vertical="center" wrapText="1"/>
    </xf>
    <xf numFmtId="174" fontId="26" fillId="4" borderId="21" xfId="2" applyNumberFormat="1" applyFont="1" applyFill="1" applyBorder="1" applyAlignment="1">
      <alignment horizontal="center" vertical="center" wrapText="1"/>
    </xf>
    <xf numFmtId="0" fontId="6" fillId="4" borderId="21" xfId="0" applyFont="1" applyFill="1" applyBorder="1" applyAlignment="1">
      <alignment horizontal="center" vertical="center" wrapText="1"/>
    </xf>
    <xf numFmtId="0" fontId="21" fillId="4" borderId="0" xfId="0" applyFont="1" applyFill="1"/>
    <xf numFmtId="181" fontId="148" fillId="4" borderId="0" xfId="0" applyNumberFormat="1" applyFont="1" applyFill="1"/>
    <xf numFmtId="0" fontId="151" fillId="0" borderId="5" xfId="0" applyFont="1" applyBorder="1"/>
    <xf numFmtId="0" fontId="151" fillId="0" borderId="0" xfId="0" applyFont="1"/>
    <xf numFmtId="0" fontId="121" fillId="0" borderId="5" xfId="0" applyFont="1" applyBorder="1"/>
    <xf numFmtId="0" fontId="121" fillId="0" borderId="0" xfId="0" applyFont="1"/>
    <xf numFmtId="0" fontId="18" fillId="0" borderId="5" xfId="0" applyFont="1" applyBorder="1"/>
    <xf numFmtId="0" fontId="18" fillId="0" borderId="0" xfId="0" applyFont="1" applyAlignment="1">
      <alignment horizontal="centerContinuous" vertical="center" wrapText="1"/>
    </xf>
    <xf numFmtId="0" fontId="10" fillId="0" borderId="0" xfId="0" applyFont="1"/>
    <xf numFmtId="0" fontId="20" fillId="4" borderId="21" xfId="0" applyFont="1" applyFill="1" applyBorder="1" applyAlignment="1">
      <alignment horizontal="center" vertical="center" wrapText="1"/>
    </xf>
    <xf numFmtId="0" fontId="20" fillId="4" borderId="21" xfId="0" applyFont="1" applyFill="1" applyBorder="1" applyAlignment="1">
      <alignment vertical="center" wrapText="1"/>
    </xf>
    <xf numFmtId="0" fontId="30" fillId="4" borderId="21" xfId="0" applyFont="1" applyFill="1" applyBorder="1" applyAlignment="1">
      <alignment vertical="center" wrapText="1"/>
    </xf>
    <xf numFmtId="174" fontId="20" fillId="4" borderId="21" xfId="2" applyNumberFormat="1" applyFont="1" applyFill="1" applyBorder="1" applyAlignment="1">
      <alignment horizontal="right" vertical="center" wrapText="1"/>
    </xf>
    <xf numFmtId="0" fontId="19" fillId="4" borderId="21" xfId="0" applyFont="1" applyFill="1" applyBorder="1" applyAlignment="1">
      <alignment vertical="center" wrapText="1"/>
    </xf>
    <xf numFmtId="0" fontId="5" fillId="4" borderId="21" xfId="0" applyFont="1" applyFill="1" applyBorder="1" applyAlignment="1">
      <alignment horizontal="left" vertical="center" wrapText="1"/>
    </xf>
    <xf numFmtId="174" fontId="19" fillId="4" borderId="21" xfId="2" applyNumberFormat="1" applyFont="1" applyFill="1" applyBorder="1" applyAlignment="1">
      <alignment horizontal="right" vertical="center" wrapText="1"/>
    </xf>
    <xf numFmtId="0" fontId="19" fillId="4" borderId="21" xfId="0" applyFont="1" applyFill="1" applyBorder="1" applyAlignment="1">
      <alignment horizontal="center" vertical="center" wrapText="1"/>
    </xf>
    <xf numFmtId="0" fontId="7" fillId="4" borderId="21" xfId="0" applyFont="1" applyFill="1" applyBorder="1" applyAlignment="1">
      <alignment vertical="center"/>
    </xf>
    <xf numFmtId="0" fontId="70" fillId="4" borderId="21" xfId="0" quotePrefix="1" applyFont="1" applyFill="1" applyBorder="1" applyAlignment="1">
      <alignment horizontal="center" vertical="center" wrapText="1"/>
    </xf>
    <xf numFmtId="0" fontId="6" fillId="4" borderId="21" xfId="0" quotePrefix="1" applyFont="1" applyFill="1" applyBorder="1" applyAlignment="1">
      <alignment horizontal="left" vertical="center" wrapText="1"/>
    </xf>
    <xf numFmtId="174" fontId="70" fillId="4" borderId="21" xfId="2" applyNumberFormat="1" applyFont="1" applyFill="1" applyBorder="1" applyAlignment="1">
      <alignment horizontal="right" vertical="center" wrapText="1"/>
    </xf>
    <xf numFmtId="0" fontId="54" fillId="4" borderId="21" xfId="0" applyFont="1" applyFill="1" applyBorder="1" applyAlignment="1">
      <alignment horizontal="center" vertical="center" wrapText="1"/>
    </xf>
    <xf numFmtId="0" fontId="122" fillId="4" borderId="21" xfId="0" applyFont="1" applyFill="1" applyBorder="1" applyAlignment="1">
      <alignment vertical="center" wrapText="1"/>
    </xf>
    <xf numFmtId="168" fontId="19" fillId="4" borderId="21" xfId="2" applyNumberFormat="1" applyFont="1" applyFill="1" applyBorder="1" applyAlignment="1">
      <alignment horizontal="right" vertical="center" wrapText="1"/>
    </xf>
    <xf numFmtId="3" fontId="19" fillId="4" borderId="21" xfId="0" applyNumberFormat="1" applyFont="1" applyFill="1" applyBorder="1" applyAlignment="1">
      <alignment horizontal="right" vertical="center" wrapText="1"/>
    </xf>
    <xf numFmtId="168" fontId="54" fillId="4" borderId="0" xfId="2" applyNumberFormat="1" applyFont="1" applyFill="1" applyBorder="1" applyAlignment="1"/>
    <xf numFmtId="0" fontId="50" fillId="4" borderId="21" xfId="0" applyFont="1" applyFill="1" applyBorder="1" applyAlignment="1">
      <alignment horizontal="center" vertical="center" wrapText="1"/>
    </xf>
    <xf numFmtId="0" fontId="50" fillId="4" borderId="21" xfId="0" applyFont="1" applyFill="1" applyBorder="1" applyAlignment="1">
      <alignment vertical="center" wrapText="1"/>
    </xf>
    <xf numFmtId="174" fontId="50" fillId="4" borderId="21" xfId="2" applyNumberFormat="1" applyFont="1" applyFill="1" applyBorder="1" applyAlignment="1">
      <alignment horizontal="right" vertical="center" wrapText="1"/>
    </xf>
    <xf numFmtId="168" fontId="50" fillId="4" borderId="21" xfId="2" applyNumberFormat="1" applyFont="1" applyFill="1" applyBorder="1" applyAlignment="1">
      <alignment horizontal="right" vertical="center" wrapText="1"/>
    </xf>
    <xf numFmtId="3" fontId="50" fillId="4" borderId="21" xfId="0" applyNumberFormat="1" applyFont="1" applyFill="1" applyBorder="1" applyAlignment="1">
      <alignment horizontal="right" vertical="center" wrapText="1"/>
    </xf>
    <xf numFmtId="168" fontId="50" fillId="4" borderId="0" xfId="2" applyNumberFormat="1" applyFont="1" applyFill="1" applyBorder="1" applyAlignment="1"/>
    <xf numFmtId="0" fontId="36" fillId="4" borderId="21" xfId="0" applyFont="1" applyFill="1" applyBorder="1" applyAlignment="1">
      <alignment horizontal="center" vertical="center" wrapText="1"/>
    </xf>
    <xf numFmtId="0" fontId="66" fillId="4" borderId="21" xfId="0" applyFont="1" applyFill="1" applyBorder="1" applyAlignment="1">
      <alignment horizontal="center" vertical="center" wrapText="1"/>
    </xf>
    <xf numFmtId="0" fontId="20" fillId="4" borderId="21" xfId="0" applyFont="1" applyFill="1" applyBorder="1" applyAlignment="1">
      <alignment horizontal="left" vertical="center" wrapText="1"/>
    </xf>
    <xf numFmtId="181" fontId="20" fillId="0" borderId="21" xfId="38" applyNumberFormat="1" applyFont="1" applyBorder="1" applyAlignment="1">
      <alignment horizontal="center" vertical="center" wrapText="1"/>
    </xf>
    <xf numFmtId="168" fontId="70" fillId="4" borderId="21" xfId="2" applyNumberFormat="1" applyFont="1" applyFill="1" applyBorder="1" applyAlignment="1">
      <alignment horizontal="right" vertical="center" wrapText="1"/>
    </xf>
    <xf numFmtId="3" fontId="70" fillId="4" borderId="21" xfId="2" applyNumberFormat="1" applyFont="1" applyFill="1" applyBorder="1" applyAlignment="1">
      <alignment horizontal="left" vertical="center" wrapText="1"/>
    </xf>
    <xf numFmtId="168" fontId="70" fillId="4" borderId="0" xfId="2" applyNumberFormat="1" applyFont="1" applyFill="1"/>
    <xf numFmtId="170" fontId="70" fillId="4" borderId="0" xfId="2" applyNumberFormat="1" applyFont="1" applyFill="1"/>
    <xf numFmtId="174" fontId="70" fillId="4" borderId="0" xfId="2" applyNumberFormat="1" applyFont="1" applyFill="1"/>
    <xf numFmtId="3" fontId="19" fillId="4" borderId="21" xfId="2" applyNumberFormat="1" applyFont="1" applyFill="1" applyBorder="1" applyAlignment="1">
      <alignment horizontal="left" vertical="center" wrapText="1"/>
    </xf>
    <xf numFmtId="168" fontId="19" fillId="4" borderId="0" xfId="2" applyNumberFormat="1" applyFont="1" applyFill="1"/>
    <xf numFmtId="170" fontId="50" fillId="4" borderId="0" xfId="2" applyNumberFormat="1" applyFont="1" applyFill="1"/>
    <xf numFmtId="168" fontId="50" fillId="4" borderId="0" xfId="2" applyNumberFormat="1" applyFont="1" applyFill="1"/>
    <xf numFmtId="177" fontId="50" fillId="4" borderId="0" xfId="0" applyNumberFormat="1" applyFont="1" applyFill="1"/>
    <xf numFmtId="168" fontId="50" fillId="4" borderId="0" xfId="2" applyNumberFormat="1" applyFont="1" applyFill="1" applyBorder="1"/>
    <xf numFmtId="177" fontId="20" fillId="4" borderId="0" xfId="0" applyNumberFormat="1" applyFont="1" applyFill="1"/>
    <xf numFmtId="0" fontId="20" fillId="4" borderId="0" xfId="0" applyFont="1" applyFill="1"/>
    <xf numFmtId="0" fontId="30" fillId="4" borderId="21" xfId="0" applyFont="1" applyFill="1" applyBorder="1" applyAlignment="1">
      <alignment horizontal="left" vertical="center" wrapText="1"/>
    </xf>
    <xf numFmtId="168" fontId="20" fillId="4" borderId="21" xfId="2" applyNumberFormat="1" applyFont="1" applyFill="1" applyBorder="1" applyAlignment="1">
      <alignment horizontal="right" vertical="center" wrapText="1"/>
    </xf>
    <xf numFmtId="3" fontId="30" fillId="4" borderId="21" xfId="0" applyNumberFormat="1" applyFont="1" applyFill="1" applyBorder="1" applyAlignment="1">
      <alignment horizontal="right" vertical="center" wrapText="1"/>
    </xf>
    <xf numFmtId="168" fontId="18" fillId="4" borderId="0" xfId="2" applyNumberFormat="1" applyFont="1" applyFill="1" applyBorder="1"/>
    <xf numFmtId="0" fontId="36" fillId="4" borderId="21" xfId="0" applyFont="1" applyFill="1" applyBorder="1" applyAlignment="1">
      <alignment horizontal="left" vertical="center" wrapText="1"/>
    </xf>
    <xf numFmtId="3" fontId="36" fillId="4" borderId="21" xfId="0" applyNumberFormat="1" applyFont="1" applyFill="1" applyBorder="1" applyAlignment="1">
      <alignment horizontal="right" vertical="center" wrapText="1"/>
    </xf>
    <xf numFmtId="168" fontId="20" fillId="4" borderId="5" xfId="2" applyNumberFormat="1" applyFont="1" applyFill="1" applyBorder="1" applyAlignment="1">
      <alignment horizontal="right" vertical="center" wrapText="1"/>
    </xf>
    <xf numFmtId="0" fontId="19" fillId="4" borderId="0" xfId="0" applyFont="1" applyFill="1" applyAlignment="1">
      <alignment horizontal="center"/>
    </xf>
    <xf numFmtId="177" fontId="20" fillId="4" borderId="21" xfId="0" applyNumberFormat="1" applyFont="1" applyFill="1" applyBorder="1" applyAlignment="1">
      <alignment horizontal="right" vertical="center" wrapText="1"/>
    </xf>
    <xf numFmtId="177" fontId="20" fillId="4" borderId="4" xfId="0" applyNumberFormat="1" applyFont="1" applyFill="1" applyBorder="1" applyAlignment="1">
      <alignment horizontal="right" vertical="center" wrapText="1"/>
    </xf>
    <xf numFmtId="43" fontId="19" fillId="4" borderId="0" xfId="0" applyNumberFormat="1" applyFont="1" applyFill="1"/>
    <xf numFmtId="168" fontId="20" fillId="4" borderId="0" xfId="2" applyNumberFormat="1" applyFont="1" applyFill="1" applyBorder="1" applyAlignment="1"/>
    <xf numFmtId="170" fontId="50" fillId="4" borderId="0" xfId="2" applyNumberFormat="1" applyFont="1" applyFill="1" applyBorder="1" applyAlignment="1"/>
    <xf numFmtId="43" fontId="20" fillId="4" borderId="0" xfId="0" applyNumberFormat="1" applyFont="1" applyFill="1"/>
    <xf numFmtId="168" fontId="19" fillId="4" borderId="0" xfId="2" applyNumberFormat="1" applyFont="1" applyFill="1" applyBorder="1" applyAlignment="1"/>
    <xf numFmtId="43" fontId="19" fillId="4" borderId="0" xfId="2" applyFont="1" applyFill="1" applyBorder="1" applyAlignment="1"/>
    <xf numFmtId="177" fontId="20" fillId="4" borderId="21" xfId="2" applyNumberFormat="1" applyFont="1" applyFill="1" applyBorder="1" applyAlignment="1">
      <alignment horizontal="right" vertical="center" wrapText="1"/>
    </xf>
    <xf numFmtId="177" fontId="20" fillId="4" borderId="5" xfId="2" applyNumberFormat="1" applyFont="1" applyFill="1" applyBorder="1" applyAlignment="1">
      <alignment horizontal="right" vertical="center" wrapText="1"/>
    </xf>
    <xf numFmtId="0" fontId="127" fillId="0" borderId="0" xfId="0" applyFont="1"/>
    <xf numFmtId="174" fontId="48" fillId="0" borderId="5" xfId="2" applyNumberFormat="1" applyFont="1" applyBorder="1" applyAlignment="1">
      <alignment vertical="center" wrapText="1"/>
    </xf>
    <xf numFmtId="174" fontId="47" fillId="0" borderId="3" xfId="2" applyNumberFormat="1" applyFont="1" applyBorder="1" applyAlignment="1">
      <alignment vertical="center" wrapText="1"/>
    </xf>
    <xf numFmtId="167" fontId="47" fillId="0" borderId="3" xfId="2" applyNumberFormat="1" applyFont="1" applyBorder="1" applyAlignment="1">
      <alignment vertical="center" wrapText="1"/>
    </xf>
    <xf numFmtId="0" fontId="38" fillId="0" borderId="0" xfId="0" applyFont="1" applyAlignment="1">
      <alignment vertical="center" wrapText="1"/>
    </xf>
    <xf numFmtId="0" fontId="38" fillId="0" borderId="0" xfId="0" applyFont="1" applyAlignment="1">
      <alignment horizontal="center" vertical="center" wrapText="1"/>
    </xf>
    <xf numFmtId="1" fontId="38" fillId="0" borderId="13" xfId="0" applyNumberFormat="1" applyFont="1" applyBorder="1" applyAlignment="1">
      <alignment horizontal="center" vertical="center" wrapText="1"/>
    </xf>
    <xf numFmtId="193" fontId="38" fillId="0" borderId="13" xfId="0" applyNumberFormat="1" applyFont="1" applyBorder="1" applyAlignment="1">
      <alignment horizontal="center" vertical="center" wrapText="1"/>
    </xf>
    <xf numFmtId="43" fontId="57" fillId="4" borderId="0" xfId="2" applyFont="1" applyFill="1" applyBorder="1" applyAlignment="1">
      <alignment horizontal="right" vertical="center" wrapText="1"/>
    </xf>
    <xf numFmtId="0" fontId="38" fillId="0" borderId="13" xfId="0" applyFont="1" applyBorder="1" applyAlignment="1">
      <alignment vertical="center" wrapText="1"/>
    </xf>
    <xf numFmtId="0" fontId="38" fillId="4" borderId="13" xfId="0" applyFont="1" applyFill="1" applyBorder="1" applyAlignment="1">
      <alignment vertical="center" wrapText="1"/>
    </xf>
    <xf numFmtId="0" fontId="38" fillId="4" borderId="21" xfId="0" applyFont="1" applyFill="1" applyBorder="1" applyAlignment="1">
      <alignment horizontal="center" vertical="center" wrapText="1"/>
    </xf>
    <xf numFmtId="0" fontId="38" fillId="0" borderId="21" xfId="0" applyFont="1" applyBorder="1" applyAlignment="1">
      <alignment horizontal="center" vertical="center" wrapText="1"/>
    </xf>
    <xf numFmtId="0" fontId="38" fillId="0" borderId="25" xfId="0" applyFont="1" applyBorder="1" applyAlignment="1">
      <alignment horizontal="center" vertical="center" wrapText="1"/>
    </xf>
    <xf numFmtId="0" fontId="57" fillId="0" borderId="21" xfId="0" applyFont="1" applyBorder="1" applyAlignment="1">
      <alignment horizontal="center" vertical="center" wrapText="1"/>
    </xf>
    <xf numFmtId="1" fontId="55" fillId="0" borderId="21" xfId="0" applyNumberFormat="1" applyFont="1" applyBorder="1" applyAlignment="1">
      <alignment horizontal="center" vertical="center" wrapText="1"/>
    </xf>
    <xf numFmtId="187" fontId="55" fillId="0" borderId="21" xfId="0" applyNumberFormat="1" applyFont="1" applyBorder="1" applyAlignment="1">
      <alignment horizontal="center" vertical="center" wrapText="1"/>
    </xf>
    <xf numFmtId="43" fontId="55" fillId="0" borderId="21" xfId="2" applyFont="1" applyFill="1" applyBorder="1" applyAlignment="1">
      <alignment horizontal="right" vertical="center" wrapText="1"/>
    </xf>
    <xf numFmtId="0" fontId="55" fillId="4" borderId="5" xfId="0" applyFont="1" applyFill="1" applyBorder="1" applyAlignment="1">
      <alignment horizontal="center" vertical="center" wrapText="1"/>
    </xf>
    <xf numFmtId="1" fontId="55" fillId="4" borderId="5" xfId="0" applyNumberFormat="1" applyFont="1" applyFill="1" applyBorder="1" applyAlignment="1">
      <alignment horizontal="center" vertical="center" wrapText="1"/>
    </xf>
    <xf numFmtId="43" fontId="55" fillId="4" borderId="5" xfId="2" applyFont="1" applyFill="1" applyBorder="1" applyAlignment="1">
      <alignment horizontal="right" vertical="center" wrapText="1"/>
    </xf>
    <xf numFmtId="0" fontId="55" fillId="4" borderId="0" xfId="0" applyFont="1" applyFill="1" applyAlignment="1">
      <alignment vertical="center" wrapText="1"/>
    </xf>
    <xf numFmtId="0" fontId="55" fillId="4" borderId="5" xfId="0" applyFont="1" applyFill="1" applyBorder="1" applyAlignment="1">
      <alignment horizontal="left" vertical="center" wrapText="1"/>
    </xf>
    <xf numFmtId="1" fontId="154" fillId="4" borderId="5" xfId="0" applyNumberFormat="1" applyFont="1" applyFill="1" applyBorder="1" applyAlignment="1">
      <alignment horizontal="center" vertical="center" wrapText="1"/>
    </xf>
    <xf numFmtId="0" fontId="154" fillId="4" borderId="0" xfId="0" applyFont="1" applyFill="1" applyAlignment="1">
      <alignment vertical="center" wrapText="1"/>
    </xf>
    <xf numFmtId="43" fontId="57" fillId="4" borderId="5" xfId="2" applyFont="1" applyFill="1" applyBorder="1" applyAlignment="1">
      <alignment horizontal="right" vertical="center" wrapText="1"/>
    </xf>
    <xf numFmtId="0" fontId="57" fillId="4" borderId="0" xfId="0" applyFont="1" applyFill="1" applyAlignment="1">
      <alignment vertical="center" wrapText="1"/>
    </xf>
    <xf numFmtId="188" fontId="55" fillId="4" borderId="5" xfId="2" applyNumberFormat="1" applyFont="1" applyFill="1" applyBorder="1" applyAlignment="1">
      <alignment horizontal="center" vertical="center" wrapText="1"/>
    </xf>
    <xf numFmtId="43" fontId="57" fillId="4" borderId="5" xfId="2" applyFont="1" applyFill="1" applyBorder="1" applyAlignment="1">
      <alignment vertical="center" wrapText="1"/>
    </xf>
    <xf numFmtId="43" fontId="55" fillId="4" borderId="5" xfId="2" applyFont="1" applyFill="1" applyBorder="1" applyAlignment="1">
      <alignment vertical="center" wrapText="1"/>
    </xf>
    <xf numFmtId="188" fontId="38" fillId="4" borderId="5" xfId="2" applyNumberFormat="1" applyFont="1" applyFill="1" applyBorder="1" applyAlignment="1">
      <alignment horizontal="center" vertical="center" wrapText="1"/>
    </xf>
    <xf numFmtId="1" fontId="38" fillId="4" borderId="5" xfId="0" applyNumberFormat="1" applyFont="1" applyFill="1" applyBorder="1" applyAlignment="1">
      <alignment horizontal="center" vertical="center" wrapText="1"/>
    </xf>
    <xf numFmtId="0" fontId="38" fillId="4" borderId="0" xfId="0" applyFont="1" applyFill="1" applyAlignment="1">
      <alignment vertical="center" wrapText="1"/>
    </xf>
    <xf numFmtId="0" fontId="55" fillId="4" borderId="5" xfId="0" applyFont="1" applyFill="1" applyBorder="1" applyAlignment="1">
      <alignment vertical="center" wrapText="1"/>
    </xf>
    <xf numFmtId="3" fontId="55" fillId="4" borderId="5" xfId="0" quotePrefix="1" applyNumberFormat="1" applyFont="1" applyFill="1" applyBorder="1" applyAlignment="1">
      <alignment horizontal="center" vertical="center" wrapText="1"/>
    </xf>
    <xf numFmtId="1" fontId="38" fillId="0" borderId="0" xfId="0" applyNumberFormat="1" applyFont="1" applyAlignment="1">
      <alignment vertical="center" wrapText="1"/>
    </xf>
    <xf numFmtId="0" fontId="55" fillId="0" borderId="0" xfId="0" applyFont="1" applyAlignment="1">
      <alignment vertical="center" wrapText="1"/>
    </xf>
    <xf numFmtId="0" fontId="38" fillId="0" borderId="0" xfId="0" applyFont="1" applyAlignment="1">
      <alignment vertical="top" wrapText="1"/>
    </xf>
    <xf numFmtId="0" fontId="155" fillId="4" borderId="0" xfId="0" applyFont="1" applyFill="1"/>
    <xf numFmtId="0" fontId="156" fillId="4" borderId="0" xfId="0" applyFont="1" applyFill="1"/>
    <xf numFmtId="174" fontId="61" fillId="4" borderId="0" xfId="2" applyNumberFormat="1" applyFont="1" applyFill="1" applyAlignment="1">
      <alignment horizontal="center"/>
    </xf>
    <xf numFmtId="174" fontId="157" fillId="4" borderId="0" xfId="2" applyNumberFormat="1" applyFont="1" applyFill="1"/>
    <xf numFmtId="174" fontId="61" fillId="4" borderId="0" xfId="2" applyNumberFormat="1" applyFont="1" applyFill="1" applyAlignment="1"/>
    <xf numFmtId="0" fontId="158" fillId="0" borderId="0" xfId="0" applyFont="1" applyAlignment="1">
      <alignment vertical="center" wrapText="1"/>
    </xf>
    <xf numFmtId="1" fontId="38" fillId="0" borderId="0" xfId="0" applyNumberFormat="1" applyFont="1" applyAlignment="1">
      <alignment horizontal="center" vertical="center" wrapText="1"/>
    </xf>
    <xf numFmtId="0" fontId="38" fillId="4" borderId="0" xfId="0" applyFont="1" applyFill="1" applyAlignment="1">
      <alignment horizontal="right" vertical="center" wrapText="1"/>
    </xf>
    <xf numFmtId="0" fontId="38" fillId="4" borderId="5" xfId="0" applyFont="1" applyFill="1" applyBorder="1" applyAlignment="1">
      <alignment horizontal="center" vertical="center" wrapText="1"/>
    </xf>
    <xf numFmtId="3" fontId="38" fillId="4" borderId="5" xfId="39" applyNumberFormat="1" applyFont="1" applyFill="1" applyBorder="1" applyAlignment="1">
      <alignment vertical="center" wrapText="1"/>
    </xf>
    <xf numFmtId="3" fontId="38" fillId="4" borderId="5" xfId="0" applyNumberFormat="1" applyFont="1" applyFill="1" applyBorder="1" applyAlignment="1">
      <alignment horizontal="right" vertical="center" wrapText="1"/>
    </xf>
    <xf numFmtId="43" fontId="38" fillId="4" borderId="5" xfId="2" applyFont="1" applyFill="1" applyBorder="1" applyAlignment="1">
      <alignment horizontal="right" vertical="center" wrapText="1"/>
    </xf>
    <xf numFmtId="43" fontId="38" fillId="4" borderId="5" xfId="2" applyFont="1" applyFill="1" applyBorder="1" applyAlignment="1">
      <alignment vertical="center" wrapText="1"/>
    </xf>
    <xf numFmtId="3" fontId="38" fillId="4" borderId="5" xfId="0" applyNumberFormat="1" applyFont="1" applyFill="1" applyBorder="1" applyAlignment="1">
      <alignment vertical="center" wrapText="1"/>
    </xf>
    <xf numFmtId="3" fontId="38" fillId="4" borderId="5" xfId="2" applyNumberFormat="1" applyFont="1" applyFill="1" applyBorder="1" applyAlignment="1">
      <alignment vertical="center" wrapText="1"/>
    </xf>
    <xf numFmtId="3" fontId="38" fillId="4" borderId="5" xfId="0" applyNumberFormat="1" applyFont="1" applyFill="1" applyBorder="1" applyAlignment="1">
      <alignment horizontal="center" vertical="center" wrapText="1"/>
    </xf>
    <xf numFmtId="1" fontId="38" fillId="4" borderId="5" xfId="0" applyNumberFormat="1" applyFont="1" applyFill="1" applyBorder="1" applyAlignment="1">
      <alignment vertical="center" wrapText="1"/>
    </xf>
    <xf numFmtId="3" fontId="38" fillId="4" borderId="5" xfId="0" applyNumberFormat="1" applyFont="1" applyFill="1" applyBorder="1" applyAlignment="1">
      <alignment horizontal="left" vertical="center" wrapText="1"/>
    </xf>
    <xf numFmtId="0" fontId="38" fillId="4" borderId="5" xfId="0" quotePrefix="1" applyFont="1" applyFill="1" applyBorder="1" applyAlignment="1">
      <alignment horizontal="left" vertical="center" wrapText="1"/>
    </xf>
    <xf numFmtId="3" fontId="38" fillId="4" borderId="5" xfId="15" applyNumberFormat="1" applyFont="1" applyFill="1" applyBorder="1" applyAlignment="1">
      <alignment horizontal="center" vertical="center" wrapText="1"/>
    </xf>
    <xf numFmtId="4" fontId="38" fillId="4" borderId="5" xfId="15" applyNumberFormat="1" applyFont="1" applyFill="1" applyBorder="1" applyAlignment="1">
      <alignment horizontal="right" vertical="center" wrapText="1"/>
    </xf>
    <xf numFmtId="175" fontId="38" fillId="0" borderId="13" xfId="0" applyNumberFormat="1" applyFont="1" applyBorder="1" applyAlignment="1">
      <alignment horizontal="center" vertical="center" wrapText="1"/>
    </xf>
    <xf numFmtId="4" fontId="38" fillId="4" borderId="0" xfId="15" applyNumberFormat="1" applyFont="1" applyFill="1" applyAlignment="1">
      <alignment horizontal="right" vertical="center" wrapText="1"/>
    </xf>
    <xf numFmtId="43" fontId="38" fillId="0" borderId="0" xfId="0" applyNumberFormat="1" applyFont="1" applyAlignment="1">
      <alignment vertical="center" wrapText="1"/>
    </xf>
    <xf numFmtId="0" fontId="55" fillId="4" borderId="4" xfId="0" applyFont="1" applyFill="1" applyBorder="1" applyAlignment="1">
      <alignment horizontal="center" vertical="center" wrapText="1"/>
    </xf>
    <xf numFmtId="0" fontId="55" fillId="4" borderId="4" xfId="0" applyFont="1" applyFill="1" applyBorder="1" applyAlignment="1">
      <alignment horizontal="left" vertical="center" wrapText="1"/>
    </xf>
    <xf numFmtId="188" fontId="55" fillId="4" borderId="4" xfId="2" applyNumberFormat="1" applyFont="1" applyFill="1" applyBorder="1" applyAlignment="1">
      <alignment horizontal="center" vertical="center" wrapText="1"/>
    </xf>
    <xf numFmtId="1" fontId="55" fillId="4" borderId="4" xfId="0" applyNumberFormat="1" applyFont="1" applyFill="1" applyBorder="1" applyAlignment="1">
      <alignment horizontal="center" vertical="center" wrapText="1"/>
    </xf>
    <xf numFmtId="43" fontId="55" fillId="4" borderId="4" xfId="2" applyFont="1" applyFill="1" applyBorder="1" applyAlignment="1">
      <alignment horizontal="right" vertical="center" wrapText="1"/>
    </xf>
    <xf numFmtId="0" fontId="38" fillId="4" borderId="5" xfId="0" applyFont="1" applyFill="1" applyBorder="1" applyAlignment="1">
      <alignment horizontal="left" vertical="center" wrapText="1"/>
    </xf>
    <xf numFmtId="3" fontId="38" fillId="4" borderId="6" xfId="0" applyNumberFormat="1" applyFont="1" applyFill="1" applyBorder="1" applyAlignment="1">
      <alignment horizontal="center" vertical="center" wrapText="1"/>
    </xf>
    <xf numFmtId="0" fontId="38" fillId="4" borderId="6" xfId="0" applyFont="1" applyFill="1" applyBorder="1" applyAlignment="1">
      <alignment horizontal="left" vertical="center" wrapText="1"/>
    </xf>
    <xf numFmtId="188" fontId="38" fillId="4" borderId="6" xfId="2" applyNumberFormat="1" applyFont="1" applyFill="1" applyBorder="1" applyAlignment="1">
      <alignment horizontal="center" vertical="center" wrapText="1"/>
    </xf>
    <xf numFmtId="1" fontId="38" fillId="4" borderId="6" xfId="0" applyNumberFormat="1" applyFont="1" applyFill="1" applyBorder="1" applyAlignment="1">
      <alignment horizontal="center" vertical="center" wrapText="1"/>
    </xf>
    <xf numFmtId="43" fontId="38" fillId="4" borderId="6" xfId="2" applyFont="1" applyFill="1" applyBorder="1" applyAlignment="1">
      <alignment vertical="center" wrapText="1"/>
    </xf>
    <xf numFmtId="43" fontId="38" fillId="4" borderId="6" xfId="2" applyFont="1" applyFill="1" applyBorder="1" applyAlignment="1">
      <alignment horizontal="right" vertical="center" wrapText="1"/>
    </xf>
    <xf numFmtId="3" fontId="116" fillId="4" borderId="3" xfId="0" applyNumberFormat="1" applyFont="1" applyFill="1" applyBorder="1" applyAlignment="1">
      <alignment horizontal="center" vertical="center" wrapText="1"/>
    </xf>
    <xf numFmtId="0" fontId="116" fillId="4" borderId="3" xfId="0" applyFont="1" applyFill="1" applyBorder="1" applyAlignment="1">
      <alignment vertical="center" wrapText="1"/>
    </xf>
    <xf numFmtId="174" fontId="116" fillId="4" borderId="3" xfId="2" applyNumberFormat="1" applyFont="1" applyFill="1" applyBorder="1" applyAlignment="1">
      <alignment horizontal="center" vertical="center" wrapText="1"/>
    </xf>
    <xf numFmtId="43" fontId="116" fillId="4" borderId="5" xfId="2" applyFont="1" applyFill="1" applyBorder="1" applyAlignment="1">
      <alignment horizontal="center" vertical="center" wrapText="1"/>
    </xf>
    <xf numFmtId="0" fontId="60" fillId="4" borderId="5" xfId="0" applyFont="1" applyFill="1" applyBorder="1" applyAlignment="1">
      <alignment horizontal="center" vertical="center" wrapText="1"/>
    </xf>
    <xf numFmtId="0" fontId="60" fillId="4" borderId="5" xfId="2" applyNumberFormat="1" applyFont="1" applyFill="1" applyBorder="1" applyAlignment="1">
      <alignment horizontal="left" vertical="center" wrapText="1"/>
    </xf>
    <xf numFmtId="174" fontId="60" fillId="4" borderId="5" xfId="2" applyNumberFormat="1" applyFont="1" applyFill="1" applyBorder="1" applyAlignment="1">
      <alignment horizontal="left" vertical="center" wrapText="1"/>
    </xf>
    <xf numFmtId="43" fontId="60" fillId="4" borderId="5" xfId="2" applyFont="1" applyFill="1" applyBorder="1" applyAlignment="1">
      <alignment horizontal="center" vertical="center" wrapText="1"/>
    </xf>
    <xf numFmtId="0" fontId="60" fillId="4" borderId="0" xfId="0" applyFont="1" applyFill="1" applyAlignment="1">
      <alignment horizontal="left"/>
    </xf>
    <xf numFmtId="174" fontId="60" fillId="4" borderId="10" xfId="2" applyNumberFormat="1" applyFont="1" applyFill="1" applyBorder="1" applyAlignment="1">
      <alignment horizontal="center" vertical="center" wrapText="1"/>
    </xf>
    <xf numFmtId="174" fontId="60" fillId="4" borderId="10" xfId="2" applyNumberFormat="1" applyFont="1" applyFill="1" applyBorder="1" applyAlignment="1">
      <alignment horizontal="left" vertical="center" wrapText="1"/>
    </xf>
    <xf numFmtId="174" fontId="60" fillId="4" borderId="5" xfId="2" applyNumberFormat="1" applyFont="1" applyFill="1" applyBorder="1" applyAlignment="1">
      <alignment horizontal="right" vertical="center" wrapText="1"/>
    </xf>
    <xf numFmtId="174" fontId="60" fillId="4" borderId="10" xfId="2" applyNumberFormat="1" applyFont="1" applyFill="1" applyBorder="1" applyAlignment="1">
      <alignment horizontal="right" vertical="center" wrapText="1"/>
    </xf>
    <xf numFmtId="0" fontId="60" fillId="4" borderId="10" xfId="2" applyNumberFormat="1" applyFont="1" applyFill="1" applyBorder="1" applyAlignment="1">
      <alignment horizontal="left" vertical="center" wrapText="1"/>
    </xf>
    <xf numFmtId="43" fontId="60" fillId="4" borderId="10" xfId="2" applyFont="1" applyFill="1" applyBorder="1" applyAlignment="1">
      <alignment horizontal="center" vertical="center" wrapText="1"/>
    </xf>
    <xf numFmtId="0" fontId="352" fillId="0" borderId="21" xfId="48" applyFont="1" applyBorder="1" applyAlignment="1">
      <alignment horizontal="center" vertical="center" wrapText="1"/>
    </xf>
    <xf numFmtId="0" fontId="147" fillId="0" borderId="0" xfId="48" applyFont="1" applyAlignment="1">
      <alignment horizontal="right" vertical="center"/>
    </xf>
    <xf numFmtId="0" fontId="66" fillId="0" borderId="0" xfId="48" applyFont="1"/>
    <xf numFmtId="0" fontId="351" fillId="0" borderId="0" xfId="48" applyFont="1" applyAlignment="1">
      <alignment vertical="center"/>
    </xf>
    <xf numFmtId="0" fontId="147" fillId="0" borderId="0" xfId="48" applyFont="1" applyAlignment="1">
      <alignment vertical="center"/>
    </xf>
    <xf numFmtId="43" fontId="66" fillId="0" borderId="0" xfId="943" applyFont="1"/>
    <xf numFmtId="43" fontId="352" fillId="0" borderId="21" xfId="943" applyFont="1" applyBorder="1" applyAlignment="1">
      <alignment horizontal="center" vertical="center" wrapText="1"/>
    </xf>
    <xf numFmtId="0" fontId="353" fillId="0" borderId="21" xfId="48" applyFont="1" applyBorder="1" applyAlignment="1">
      <alignment vertical="center" wrapText="1"/>
    </xf>
    <xf numFmtId="0" fontId="352" fillId="0" borderId="21" xfId="48" applyFont="1" applyBorder="1" applyAlignment="1">
      <alignment vertical="center" wrapText="1"/>
    </xf>
    <xf numFmtId="43" fontId="353" fillId="0" borderId="21" xfId="943" applyFont="1" applyBorder="1" applyAlignment="1">
      <alignment vertical="center" wrapText="1"/>
    </xf>
    <xf numFmtId="0" fontId="353" fillId="0" borderId="21" xfId="48" applyFont="1" applyBorder="1" applyAlignment="1">
      <alignment horizontal="center" vertical="center" wrapText="1"/>
    </xf>
    <xf numFmtId="174" fontId="38" fillId="4" borderId="13" xfId="2" applyNumberFormat="1" applyFont="1" applyFill="1" applyBorder="1" applyAlignment="1">
      <alignment horizontal="center" vertical="center" wrapText="1"/>
    </xf>
    <xf numFmtId="0" fontId="50" fillId="4" borderId="13" xfId="0" applyFont="1" applyFill="1" applyBorder="1"/>
    <xf numFmtId="174" fontId="55" fillId="4" borderId="13" xfId="2" applyNumberFormat="1" applyFont="1" applyFill="1" applyBorder="1" applyAlignment="1">
      <alignment horizontal="center" vertical="center" wrapText="1"/>
    </xf>
    <xf numFmtId="172" fontId="50" fillId="4" borderId="13" xfId="2" applyNumberFormat="1" applyFont="1" applyFill="1" applyBorder="1"/>
    <xf numFmtId="0" fontId="53" fillId="4" borderId="13" xfId="0" applyFont="1" applyFill="1" applyBorder="1"/>
    <xf numFmtId="0" fontId="4" fillId="4" borderId="0" xfId="0" applyFont="1" applyFill="1" applyAlignment="1">
      <alignment horizontal="right" vertical="center"/>
    </xf>
    <xf numFmtId="0" fontId="358" fillId="4" borderId="0" xfId="0" applyFont="1" applyFill="1"/>
    <xf numFmtId="181" fontId="50" fillId="4" borderId="0" xfId="0" applyNumberFormat="1" applyFont="1" applyFill="1"/>
    <xf numFmtId="173" fontId="50" fillId="4" borderId="0" xfId="0" applyNumberFormat="1" applyFont="1" applyFill="1"/>
    <xf numFmtId="175" fontId="50" fillId="4" borderId="13" xfId="2" applyNumberFormat="1" applyFont="1" applyFill="1" applyBorder="1"/>
    <xf numFmtId="0" fontId="54" fillId="4" borderId="67" xfId="0" applyFont="1" applyFill="1" applyBorder="1" applyAlignment="1">
      <alignment horizontal="center" vertical="center" wrapText="1"/>
    </xf>
    <xf numFmtId="0" fontId="358" fillId="4" borderId="67" xfId="0" applyFont="1" applyFill="1" applyBorder="1" applyAlignment="1">
      <alignment horizontal="center" vertical="center" wrapText="1"/>
    </xf>
    <xf numFmtId="167" fontId="358" fillId="4" borderId="67" xfId="2" applyNumberFormat="1" applyFont="1" applyFill="1" applyBorder="1" applyAlignment="1">
      <alignment horizontal="center" vertical="center" wrapText="1"/>
    </xf>
    <xf numFmtId="0" fontId="54" fillId="4" borderId="67" xfId="0" applyFont="1" applyFill="1" applyBorder="1" applyAlignment="1">
      <alignment vertical="center" wrapText="1"/>
    </xf>
    <xf numFmtId="174" fontId="54" fillId="4" borderId="67" xfId="2" applyNumberFormat="1" applyFont="1" applyFill="1" applyBorder="1" applyAlignment="1">
      <alignment horizontal="center" vertical="center" wrapText="1"/>
    </xf>
    <xf numFmtId="43" fontId="50" fillId="4" borderId="67" xfId="2" applyFont="1" applyFill="1" applyBorder="1" applyAlignment="1">
      <alignment horizontal="center" vertical="center" wrapText="1"/>
    </xf>
    <xf numFmtId="0" fontId="54" fillId="4" borderId="67" xfId="0" applyFont="1" applyFill="1" applyBorder="1" applyAlignment="1">
      <alignment horizontal="justify" vertical="center" wrapText="1"/>
    </xf>
    <xf numFmtId="43" fontId="54" fillId="4" borderId="67" xfId="2" applyFont="1" applyFill="1" applyBorder="1" applyAlignment="1">
      <alignment horizontal="center" vertical="center" wrapText="1"/>
    </xf>
    <xf numFmtId="0" fontId="50" fillId="4" borderId="67" xfId="0" applyFont="1" applyFill="1" applyBorder="1" applyAlignment="1">
      <alignment horizontal="center" vertical="center" wrapText="1"/>
    </xf>
    <xf numFmtId="0" fontId="50" fillId="4" borderId="67" xfId="0" applyFont="1" applyFill="1" applyBorder="1" applyAlignment="1">
      <alignment horizontal="justify" vertical="center" wrapText="1"/>
    </xf>
    <xf numFmtId="173" fontId="50" fillId="4" borderId="67" xfId="2" applyNumberFormat="1" applyFont="1" applyFill="1" applyBorder="1" applyAlignment="1">
      <alignment horizontal="center" vertical="center" wrapText="1"/>
    </xf>
    <xf numFmtId="174" fontId="50" fillId="4" borderId="67" xfId="2" applyNumberFormat="1" applyFont="1" applyFill="1" applyBorder="1" applyAlignment="1">
      <alignment horizontal="center" vertical="center" wrapText="1"/>
    </xf>
    <xf numFmtId="174" fontId="50" fillId="4" borderId="67" xfId="2" applyNumberFormat="1" applyFont="1" applyFill="1" applyBorder="1" applyAlignment="1">
      <alignment vertical="center" wrapText="1"/>
    </xf>
    <xf numFmtId="174" fontId="50" fillId="4" borderId="67" xfId="2" applyNumberFormat="1" applyFont="1" applyFill="1" applyBorder="1" applyAlignment="1">
      <alignment vertical="center"/>
    </xf>
    <xf numFmtId="174" fontId="38" fillId="4" borderId="0" xfId="2" applyNumberFormat="1" applyFont="1" applyFill="1"/>
    <xf numFmtId="174" fontId="52" fillId="4" borderId="0" xfId="2" applyNumberFormat="1" applyFont="1" applyFill="1"/>
    <xf numFmtId="166" fontId="50" fillId="4" borderId="0" xfId="2" applyNumberFormat="1" applyFont="1" applyFill="1"/>
    <xf numFmtId="174" fontId="3" fillId="4" borderId="0" xfId="2" applyNumberFormat="1" applyFont="1" applyFill="1" applyBorder="1" applyAlignment="1"/>
    <xf numFmtId="174" fontId="56" fillId="4" borderId="0" xfId="2" applyNumberFormat="1" applyFont="1" applyFill="1"/>
    <xf numFmtId="174" fontId="50" fillId="4" borderId="13" xfId="2" applyNumberFormat="1" applyFont="1" applyFill="1" applyBorder="1" applyAlignment="1"/>
    <xf numFmtId="174" fontId="51" fillId="4" borderId="13" xfId="2" applyNumberFormat="1" applyFont="1" applyFill="1" applyBorder="1" applyAlignment="1"/>
    <xf numFmtId="174" fontId="56" fillId="4" borderId="13" xfId="2" applyNumberFormat="1" applyFont="1" applyFill="1" applyBorder="1" applyAlignment="1"/>
    <xf numFmtId="174" fontId="38" fillId="4" borderId="13" xfId="2" applyNumberFormat="1" applyFont="1" applyFill="1" applyBorder="1" applyAlignment="1"/>
    <xf numFmtId="174" fontId="56" fillId="4" borderId="13" xfId="2" applyNumberFormat="1" applyFont="1" applyFill="1" applyBorder="1" applyAlignment="1">
      <alignment horizontal="center" vertical="center" wrapText="1"/>
    </xf>
    <xf numFmtId="0" fontId="103" fillId="4" borderId="5" xfId="0" applyFont="1" applyFill="1" applyBorder="1" applyAlignment="1">
      <alignment vertical="center" wrapText="1"/>
    </xf>
    <xf numFmtId="334" fontId="43" fillId="4" borderId="0" xfId="0" applyNumberFormat="1" applyFont="1" applyFill="1"/>
    <xf numFmtId="181" fontId="43" fillId="4" borderId="0" xfId="0" applyNumberFormat="1" applyFont="1" applyFill="1"/>
    <xf numFmtId="173" fontId="60" fillId="4" borderId="5" xfId="2" applyNumberFormat="1" applyFont="1" applyFill="1" applyBorder="1" applyAlignment="1">
      <alignment horizontal="center" vertical="center" wrapText="1"/>
    </xf>
    <xf numFmtId="335" fontId="359" fillId="0" borderId="68" xfId="668" applyNumberFormat="1" applyFont="1" applyBorder="1" applyAlignment="1">
      <alignment horizontal="right" vertical="center" wrapText="1"/>
    </xf>
    <xf numFmtId="0" fontId="116" fillId="4" borderId="5" xfId="0" applyFont="1" applyFill="1" applyBorder="1" applyAlignment="1">
      <alignment horizontal="center" vertical="center" wrapText="1"/>
    </xf>
    <xf numFmtId="173" fontId="116" fillId="4" borderId="5" xfId="2" applyNumberFormat="1" applyFont="1" applyFill="1" applyBorder="1" applyAlignment="1">
      <alignment horizontal="center" vertical="center" wrapText="1"/>
    </xf>
    <xf numFmtId="174" fontId="116" fillId="4" borderId="5" xfId="2" applyNumberFormat="1" applyFont="1" applyFill="1" applyBorder="1" applyAlignment="1">
      <alignment horizontal="center" vertical="center" wrapText="1"/>
    </xf>
    <xf numFmtId="0" fontId="60" fillId="4" borderId="0" xfId="0" applyFont="1" applyFill="1" applyAlignment="1">
      <alignment horizontal="center" vertical="center"/>
    </xf>
    <xf numFmtId="174" fontId="144" fillId="4" borderId="6" xfId="2" applyNumberFormat="1" applyFont="1" applyFill="1" applyBorder="1" applyAlignment="1">
      <alignment horizontal="center" vertical="center" wrapText="1"/>
    </xf>
    <xf numFmtId="169" fontId="144" fillId="4" borderId="6" xfId="2" applyNumberFormat="1" applyFont="1" applyFill="1" applyBorder="1" applyAlignment="1">
      <alignment horizontal="center" vertical="center" wrapText="1"/>
    </xf>
    <xf numFmtId="172" fontId="144" fillId="4" borderId="6" xfId="2" applyNumberFormat="1" applyFont="1" applyFill="1" applyBorder="1" applyAlignment="1">
      <alignment horizontal="center" vertical="center" wrapText="1"/>
    </xf>
    <xf numFmtId="166" fontId="144" fillId="4" borderId="6" xfId="2" applyNumberFormat="1" applyFont="1" applyFill="1" applyBorder="1" applyAlignment="1">
      <alignment vertical="center" wrapText="1"/>
    </xf>
    <xf numFmtId="166" fontId="144" fillId="4" borderId="6" xfId="2" applyNumberFormat="1" applyFont="1" applyFill="1" applyBorder="1" applyAlignment="1">
      <alignment vertical="center"/>
    </xf>
    <xf numFmtId="174" fontId="51" fillId="4" borderId="5" xfId="2" applyNumberFormat="1" applyFont="1" applyFill="1" applyBorder="1" applyAlignment="1">
      <alignment horizontal="center" vertical="center" wrapText="1"/>
    </xf>
    <xf numFmtId="169" fontId="51" fillId="4" borderId="5" xfId="2" applyNumberFormat="1" applyFont="1" applyFill="1" applyBorder="1" applyAlignment="1">
      <alignment horizontal="center" vertical="center" wrapText="1"/>
    </xf>
    <xf numFmtId="172" fontId="51" fillId="4" borderId="5" xfId="2" applyNumberFormat="1" applyFont="1" applyFill="1" applyBorder="1" applyAlignment="1">
      <alignment horizontal="center" vertical="center" wrapText="1"/>
    </xf>
    <xf numFmtId="174" fontId="56" fillId="4" borderId="5" xfId="2" applyNumberFormat="1" applyFont="1" applyFill="1" applyBorder="1" applyAlignment="1">
      <alignment horizontal="center" vertical="center" wrapText="1"/>
    </xf>
    <xf numFmtId="166" fontId="51" fillId="4" borderId="5" xfId="2" applyNumberFormat="1" applyFont="1" applyFill="1" applyBorder="1" applyAlignment="1">
      <alignment vertical="center" wrapText="1"/>
    </xf>
    <xf numFmtId="166" fontId="51" fillId="4" borderId="5" xfId="2" applyNumberFormat="1" applyFont="1" applyFill="1" applyBorder="1" applyAlignment="1">
      <alignment vertical="center"/>
    </xf>
    <xf numFmtId="43" fontId="51" fillId="4" borderId="5" xfId="2" applyFont="1" applyFill="1" applyBorder="1" applyAlignment="1">
      <alignment vertical="center" wrapText="1"/>
    </xf>
    <xf numFmtId="0" fontId="53" fillId="4" borderId="5" xfId="0" applyFont="1" applyFill="1" applyBorder="1" applyAlignment="1">
      <alignment horizontal="center" vertical="center"/>
    </xf>
    <xf numFmtId="0" fontId="100" fillId="4" borderId="5" xfId="0" applyFont="1" applyFill="1" applyBorder="1" applyAlignment="1">
      <alignment horizontal="center" vertical="center" wrapText="1"/>
    </xf>
    <xf numFmtId="0" fontId="100" fillId="4" borderId="5" xfId="0" applyFont="1" applyFill="1" applyBorder="1" applyAlignment="1">
      <alignment vertical="center" wrapText="1"/>
    </xf>
    <xf numFmtId="0" fontId="100" fillId="4" borderId="6" xfId="0" applyFont="1" applyFill="1" applyBorder="1" applyAlignment="1">
      <alignment horizontal="center" vertical="center" wrapText="1"/>
    </xf>
    <xf numFmtId="0" fontId="100" fillId="4" borderId="6" xfId="0" applyFont="1" applyFill="1" applyBorder="1" applyAlignment="1">
      <alignment vertical="center" wrapText="1"/>
    </xf>
    <xf numFmtId="174" fontId="51" fillId="4" borderId="6" xfId="2" applyNumberFormat="1" applyFont="1" applyFill="1" applyBorder="1" applyAlignment="1">
      <alignment horizontal="center" vertical="center" wrapText="1"/>
    </xf>
    <xf numFmtId="173" fontId="51" fillId="4" borderId="5" xfId="2" applyNumberFormat="1" applyFont="1" applyFill="1" applyBorder="1" applyAlignment="1">
      <alignment horizontal="center" vertical="center" wrapText="1"/>
    </xf>
    <xf numFmtId="0" fontId="53" fillId="4" borderId="4" xfId="0" applyFont="1" applyFill="1" applyBorder="1" applyAlignment="1">
      <alignment horizontal="center" vertical="center" wrapText="1"/>
    </xf>
    <xf numFmtId="0" fontId="53" fillId="4" borderId="4" xfId="0" applyFont="1" applyFill="1" applyBorder="1" applyAlignment="1">
      <alignment vertical="center" wrapText="1"/>
    </xf>
    <xf numFmtId="174" fontId="51" fillId="4" borderId="4" xfId="2" applyNumberFormat="1" applyFont="1" applyFill="1" applyBorder="1" applyAlignment="1">
      <alignment horizontal="center" vertical="center" wrapText="1"/>
    </xf>
    <xf numFmtId="169" fontId="51" fillId="4" borderId="4" xfId="2" applyNumberFormat="1" applyFont="1" applyFill="1" applyBorder="1" applyAlignment="1">
      <alignment horizontal="center" vertical="center" wrapText="1"/>
    </xf>
    <xf numFmtId="172" fontId="51" fillId="4" borderId="4" xfId="2" applyNumberFormat="1" applyFont="1" applyFill="1" applyBorder="1" applyAlignment="1">
      <alignment horizontal="center" vertical="center" wrapText="1"/>
    </xf>
    <xf numFmtId="174" fontId="56" fillId="4" borderId="4" xfId="2" applyNumberFormat="1" applyFont="1" applyFill="1" applyBorder="1" applyAlignment="1">
      <alignment horizontal="center" vertical="center" wrapText="1"/>
    </xf>
    <xf numFmtId="166" fontId="51" fillId="4" borderId="4" xfId="2" applyNumberFormat="1" applyFont="1" applyFill="1" applyBorder="1" applyAlignment="1">
      <alignment vertical="center" wrapText="1"/>
    </xf>
    <xf numFmtId="167" fontId="51" fillId="4" borderId="4" xfId="2" applyNumberFormat="1" applyFont="1" applyFill="1" applyBorder="1" applyAlignment="1">
      <alignment vertical="center"/>
    </xf>
    <xf numFmtId="0" fontId="40" fillId="4" borderId="67" xfId="0" applyFont="1" applyFill="1" applyBorder="1" applyAlignment="1">
      <alignment horizontal="center" vertical="center" wrapText="1"/>
    </xf>
    <xf numFmtId="0" fontId="40" fillId="4" borderId="67" xfId="0" applyFont="1" applyFill="1" applyBorder="1" applyAlignment="1">
      <alignment vertical="center" wrapText="1"/>
    </xf>
    <xf numFmtId="174" fontId="40" fillId="4" borderId="3" xfId="2" applyNumberFormat="1" applyFont="1" applyFill="1" applyBorder="1" applyAlignment="1">
      <alignment vertical="center" wrapText="1"/>
    </xf>
    <xf numFmtId="166" fontId="51" fillId="4" borderId="3" xfId="2" applyNumberFormat="1" applyFont="1" applyFill="1" applyBorder="1" applyAlignment="1">
      <alignment vertical="center" wrapText="1"/>
    </xf>
    <xf numFmtId="166" fontId="51" fillId="4" borderId="3" xfId="2" applyNumberFormat="1" applyFont="1" applyFill="1" applyBorder="1" applyAlignment="1">
      <alignment vertical="center"/>
    </xf>
    <xf numFmtId="0" fontId="55" fillId="4" borderId="3" xfId="0" applyFont="1" applyFill="1" applyBorder="1" applyAlignment="1">
      <alignment horizontal="center" vertical="center" wrapText="1"/>
    </xf>
    <xf numFmtId="0" fontId="55" fillId="4" borderId="3" xfId="0" applyFont="1" applyFill="1" applyBorder="1" applyAlignment="1">
      <alignment vertical="center" wrapText="1"/>
    </xf>
    <xf numFmtId="177" fontId="47" fillId="4" borderId="5" xfId="2" applyNumberFormat="1" applyFont="1" applyFill="1" applyBorder="1" applyAlignment="1">
      <alignment horizontal="right" vertical="center" wrapText="1"/>
    </xf>
    <xf numFmtId="177" fontId="44" fillId="4" borderId="5" xfId="2" applyNumberFormat="1" applyFont="1" applyFill="1" applyBorder="1" applyAlignment="1">
      <alignment horizontal="right" vertical="center" wrapText="1"/>
    </xf>
    <xf numFmtId="3" fontId="44" fillId="4" borderId="5" xfId="2" applyNumberFormat="1" applyFont="1" applyFill="1" applyBorder="1" applyAlignment="1">
      <alignment horizontal="right" vertical="center" wrapText="1"/>
    </xf>
    <xf numFmtId="0" fontId="140" fillId="0" borderId="5" xfId="2" applyNumberFormat="1" applyFont="1" applyFill="1" applyBorder="1" applyAlignment="1">
      <alignment horizontal="center" vertical="center" wrapText="1"/>
    </xf>
    <xf numFmtId="177" fontId="140" fillId="0" borderId="5" xfId="2" applyNumberFormat="1" applyFont="1" applyFill="1" applyBorder="1" applyAlignment="1">
      <alignment vertical="center" wrapText="1"/>
    </xf>
    <xf numFmtId="2" fontId="140" fillId="0" borderId="5" xfId="2" applyNumberFormat="1" applyFont="1" applyFill="1" applyBorder="1" applyAlignment="1">
      <alignment horizontal="right" vertical="center" wrapText="1"/>
    </xf>
    <xf numFmtId="0" fontId="57" fillId="4" borderId="0" xfId="0" applyFont="1" applyFill="1"/>
    <xf numFmtId="0" fontId="48" fillId="4" borderId="5" xfId="0" quotePrefix="1" applyFont="1" applyFill="1" applyBorder="1" applyAlignment="1">
      <alignment horizontal="center" vertical="center" wrapText="1"/>
    </xf>
    <xf numFmtId="0" fontId="48" fillId="4" borderId="5" xfId="0" applyFont="1" applyFill="1" applyBorder="1" applyAlignment="1">
      <alignment horizontal="left" vertical="center" wrapText="1"/>
    </xf>
    <xf numFmtId="177" fontId="48" fillId="4" borderId="5" xfId="2" applyNumberFormat="1" applyFont="1" applyFill="1" applyBorder="1" applyAlignment="1">
      <alignment horizontal="right" vertical="center" wrapText="1"/>
    </xf>
    <xf numFmtId="3" fontId="48" fillId="4" borderId="5" xfId="2" applyNumberFormat="1" applyFont="1" applyFill="1" applyBorder="1" applyAlignment="1">
      <alignment horizontal="right" vertical="center" wrapText="1"/>
    </xf>
    <xf numFmtId="174" fontId="48" fillId="4" borderId="0" xfId="2" applyNumberFormat="1" applyFont="1" applyFill="1" applyBorder="1" applyAlignment="1">
      <alignment horizontal="center" vertical="center" wrapText="1"/>
    </xf>
    <xf numFmtId="0" fontId="95" fillId="4" borderId="0" xfId="0" applyFont="1" applyFill="1" applyAlignment="1">
      <alignment horizontal="center" vertical="center" wrapText="1"/>
    </xf>
    <xf numFmtId="0" fontId="48" fillId="4" borderId="6" xfId="0" quotePrefix="1" applyFont="1" applyFill="1" applyBorder="1" applyAlignment="1">
      <alignment horizontal="center" vertical="center" wrapText="1"/>
    </xf>
    <xf numFmtId="0" fontId="48" fillId="4" borderId="6" xfId="0" applyFont="1" applyFill="1" applyBorder="1" applyAlignment="1">
      <alignment horizontal="left" vertical="center" wrapText="1"/>
    </xf>
    <xf numFmtId="3" fontId="48" fillId="4" borderId="6" xfId="2" applyNumberFormat="1" applyFont="1" applyFill="1" applyBorder="1" applyAlignment="1">
      <alignment horizontal="right" vertical="center" wrapText="1"/>
    </xf>
    <xf numFmtId="174" fontId="95" fillId="4" borderId="0" xfId="2" applyNumberFormat="1" applyFont="1" applyFill="1" applyAlignment="1">
      <alignment horizontal="center" vertical="center" wrapText="1"/>
    </xf>
    <xf numFmtId="166" fontId="95" fillId="4" borderId="0" xfId="2" applyNumberFormat="1" applyFont="1" applyFill="1" applyAlignment="1">
      <alignment horizontal="center" vertical="center" wrapText="1"/>
    </xf>
    <xf numFmtId="2" fontId="140" fillId="0" borderId="5" xfId="2" applyNumberFormat="1" applyFont="1" applyFill="1" applyBorder="1" applyAlignment="1">
      <alignment horizontal="left" vertical="center" wrapText="1"/>
    </xf>
    <xf numFmtId="177" fontId="60" fillId="4" borderId="5" xfId="2" applyNumberFormat="1" applyFont="1" applyFill="1" applyBorder="1" applyAlignment="1">
      <alignment vertical="center" wrapText="1"/>
    </xf>
    <xf numFmtId="177" fontId="60" fillId="4" borderId="4" xfId="2" applyNumberFormat="1" applyFont="1" applyFill="1" applyBorder="1" applyAlignment="1">
      <alignment vertical="center" wrapText="1"/>
    </xf>
    <xf numFmtId="177" fontId="116" fillId="4" borderId="3" xfId="0" applyNumberFormat="1" applyFont="1" applyFill="1" applyBorder="1" applyAlignment="1">
      <alignment horizontal="justify" vertical="center" wrapText="1"/>
    </xf>
    <xf numFmtId="177" fontId="116" fillId="4" borderId="3" xfId="2" applyNumberFormat="1" applyFont="1" applyFill="1" applyBorder="1" applyAlignment="1">
      <alignment vertical="center" wrapText="1"/>
    </xf>
    <xf numFmtId="43" fontId="116" fillId="4" borderId="3" xfId="2" applyFont="1" applyFill="1" applyBorder="1" applyAlignment="1">
      <alignment horizontal="right" vertical="center" wrapText="1"/>
    </xf>
    <xf numFmtId="177" fontId="140" fillId="4" borderId="5" xfId="2" applyNumberFormat="1" applyFont="1" applyFill="1" applyBorder="1" applyAlignment="1">
      <alignment vertical="center" wrapText="1"/>
    </xf>
    <xf numFmtId="3" fontId="51" fillId="4" borderId="0" xfId="0" applyNumberFormat="1" applyFont="1" applyFill="1" applyAlignment="1">
      <alignment horizontal="center"/>
    </xf>
    <xf numFmtId="174" fontId="53" fillId="4" borderId="3" xfId="2" applyNumberFormat="1" applyFont="1" applyFill="1" applyBorder="1" applyAlignment="1">
      <alignment horizontal="center" vertical="center" wrapText="1"/>
    </xf>
    <xf numFmtId="169" fontId="53" fillId="4" borderId="3" xfId="2" applyNumberFormat="1" applyFont="1" applyFill="1" applyBorder="1" applyAlignment="1">
      <alignment horizontal="center" vertical="center" wrapText="1"/>
    </xf>
    <xf numFmtId="172" fontId="53" fillId="4" borderId="3" xfId="2" applyNumberFormat="1" applyFont="1" applyFill="1" applyBorder="1" applyAlignment="1">
      <alignment horizontal="center" vertical="center" wrapText="1"/>
    </xf>
    <xf numFmtId="0" fontId="57" fillId="4" borderId="3" xfId="0" applyFont="1" applyFill="1" applyBorder="1" applyAlignment="1">
      <alignment horizontal="center" vertical="center" wrapText="1"/>
    </xf>
    <xf numFmtId="167" fontId="57" fillId="4" borderId="3" xfId="2" applyNumberFormat="1" applyFont="1" applyFill="1" applyBorder="1" applyAlignment="1">
      <alignment vertical="center" wrapText="1"/>
    </xf>
    <xf numFmtId="0" fontId="40" fillId="4" borderId="5" xfId="0" applyFont="1" applyFill="1" applyBorder="1" applyAlignment="1">
      <alignment horizontal="center" vertical="center" wrapText="1"/>
    </xf>
    <xf numFmtId="0" fontId="40" fillId="4" borderId="5" xfId="0" applyFont="1" applyFill="1" applyBorder="1" applyAlignment="1">
      <alignment horizontal="left" vertical="center" wrapText="1"/>
    </xf>
    <xf numFmtId="0" fontId="115" fillId="4" borderId="5" xfId="0" applyFont="1" applyFill="1" applyBorder="1"/>
    <xf numFmtId="0" fontId="40" fillId="4" borderId="6" xfId="0" applyFont="1" applyFill="1" applyBorder="1" applyAlignment="1">
      <alignment horizontal="center" vertical="center" wrapText="1"/>
    </xf>
    <xf numFmtId="0" fontId="40" fillId="4" borderId="6" xfId="0" applyFont="1" applyFill="1" applyBorder="1" applyAlignment="1">
      <alignment horizontal="left" vertical="center" wrapText="1"/>
    </xf>
    <xf numFmtId="0" fontId="115" fillId="4" borderId="6" xfId="0" applyFont="1" applyFill="1" applyBorder="1"/>
    <xf numFmtId="0" fontId="54" fillId="4" borderId="5" xfId="0" applyFont="1" applyFill="1" applyBorder="1"/>
    <xf numFmtId="0" fontId="59" fillId="4" borderId="5" xfId="0" applyFont="1" applyFill="1" applyBorder="1"/>
    <xf numFmtId="167" fontId="59" fillId="4" borderId="5" xfId="2" applyNumberFormat="1" applyFont="1" applyFill="1" applyBorder="1"/>
    <xf numFmtId="174" fontId="59" fillId="4" borderId="5" xfId="2" applyNumberFormat="1" applyFont="1" applyFill="1" applyBorder="1"/>
    <xf numFmtId="167" fontId="54" fillId="4" borderId="5" xfId="2" applyNumberFormat="1" applyFont="1" applyFill="1" applyBorder="1"/>
    <xf numFmtId="43" fontId="54" fillId="4" borderId="5" xfId="2" applyFont="1" applyFill="1" applyBorder="1"/>
    <xf numFmtId="177" fontId="116" fillId="0" borderId="5" xfId="2" applyNumberFormat="1" applyFont="1" applyFill="1" applyBorder="1" applyAlignment="1">
      <alignment vertical="center" wrapText="1"/>
    </xf>
    <xf numFmtId="0" fontId="54" fillId="4" borderId="6" xfId="0" applyFont="1" applyFill="1" applyBorder="1"/>
    <xf numFmtId="0" fontId="59" fillId="4" borderId="6" xfId="0" applyFont="1" applyFill="1" applyBorder="1"/>
    <xf numFmtId="167" fontId="59" fillId="4" borderId="6" xfId="2" applyNumberFormat="1" applyFont="1" applyFill="1" applyBorder="1"/>
    <xf numFmtId="174" fontId="59" fillId="4" borderId="6" xfId="2" applyNumberFormat="1" applyFont="1" applyFill="1" applyBorder="1"/>
    <xf numFmtId="177" fontId="116" fillId="0" borderId="6" xfId="2" applyNumberFormat="1" applyFont="1" applyFill="1" applyBorder="1" applyAlignment="1">
      <alignment vertical="center" wrapText="1"/>
    </xf>
    <xf numFmtId="167" fontId="54" fillId="4" borderId="6" xfId="2" applyNumberFormat="1" applyFont="1" applyFill="1" applyBorder="1"/>
    <xf numFmtId="43" fontId="54" fillId="4" borderId="6" xfId="2" applyFont="1" applyFill="1" applyBorder="1"/>
    <xf numFmtId="177" fontId="116" fillId="4" borderId="0" xfId="2" applyNumberFormat="1" applyFont="1" applyFill="1" applyBorder="1" applyAlignment="1">
      <alignment vertical="center" wrapText="1"/>
    </xf>
    <xf numFmtId="174" fontId="60" fillId="4" borderId="0" xfId="2" applyNumberFormat="1" applyFont="1" applyFill="1" applyBorder="1" applyAlignment="1"/>
    <xf numFmtId="0" fontId="116" fillId="4" borderId="68" xfId="0" applyFont="1" applyFill="1" applyBorder="1" applyAlignment="1">
      <alignment horizontal="center" vertical="center" wrapText="1"/>
    </xf>
    <xf numFmtId="0" fontId="60" fillId="0" borderId="68" xfId="0" applyFont="1" applyBorder="1" applyAlignment="1">
      <alignment horizontal="center" vertical="center" wrapText="1"/>
    </xf>
    <xf numFmtId="174" fontId="60" fillId="0" borderId="68" xfId="2" applyNumberFormat="1" applyFont="1" applyFill="1" applyBorder="1" applyAlignment="1">
      <alignment horizontal="center" vertical="center" wrapText="1"/>
    </xf>
    <xf numFmtId="174" fontId="45" fillId="4" borderId="13" xfId="2" applyNumberFormat="1" applyFont="1" applyFill="1" applyBorder="1"/>
    <xf numFmtId="177" fontId="48" fillId="4" borderId="6" xfId="2" applyNumberFormat="1" applyFont="1" applyFill="1" applyBorder="1" applyAlignment="1">
      <alignment horizontal="right" vertical="center" wrapText="1"/>
    </xf>
    <xf numFmtId="0" fontId="47" fillId="4" borderId="68" xfId="0" applyFont="1" applyFill="1" applyBorder="1" applyAlignment="1">
      <alignment horizontal="center" vertical="center" wrapText="1"/>
    </xf>
    <xf numFmtId="181" fontId="38" fillId="4" borderId="0" xfId="0" applyNumberFormat="1" applyFont="1" applyFill="1"/>
    <xf numFmtId="192" fontId="51" fillId="4" borderId="0" xfId="0" applyNumberFormat="1" applyFont="1" applyFill="1"/>
    <xf numFmtId="43" fontId="57" fillId="4" borderId="3" xfId="2" applyFont="1" applyFill="1" applyBorder="1" applyAlignment="1">
      <alignment horizontal="center" vertical="center" wrapText="1"/>
    </xf>
    <xf numFmtId="0" fontId="132" fillId="4" borderId="5" xfId="0" applyFont="1" applyFill="1" applyBorder="1" applyAlignment="1">
      <alignment horizontal="center" vertical="center" wrapText="1"/>
    </xf>
    <xf numFmtId="0" fontId="132" fillId="4" borderId="5" xfId="0" applyFont="1" applyFill="1" applyBorder="1" applyAlignment="1">
      <alignment horizontal="justify" vertical="center" wrapText="1"/>
    </xf>
    <xf numFmtId="43" fontId="132" fillId="4" borderId="5" xfId="2" applyFont="1" applyFill="1" applyBorder="1" applyAlignment="1">
      <alignment horizontal="center" vertical="center" wrapText="1"/>
    </xf>
    <xf numFmtId="174" fontId="132" fillId="4" borderId="5" xfId="2" applyNumberFormat="1" applyFont="1" applyFill="1" applyBorder="1" applyAlignment="1">
      <alignment horizontal="center" vertical="center" wrapText="1"/>
    </xf>
    <xf numFmtId="0" fontId="132" fillId="4" borderId="0" xfId="0" applyFont="1" applyFill="1"/>
    <xf numFmtId="0" fontId="132" fillId="4" borderId="5" xfId="0" applyFont="1" applyFill="1" applyBorder="1" applyAlignment="1">
      <alignment vertical="center" wrapText="1"/>
    </xf>
    <xf numFmtId="43" fontId="132" fillId="4" borderId="5" xfId="2" applyFont="1" applyFill="1" applyBorder="1" applyAlignment="1">
      <alignment vertical="center" wrapText="1"/>
    </xf>
    <xf numFmtId="0" fontId="131" fillId="4" borderId="5" xfId="0" applyFont="1" applyFill="1" applyBorder="1" applyAlignment="1">
      <alignment horizontal="center" vertical="center" wrapText="1"/>
    </xf>
    <xf numFmtId="0" fontId="131" fillId="4" borderId="5" xfId="0" applyFont="1" applyFill="1" applyBorder="1" applyAlignment="1">
      <alignment vertical="center" wrapText="1"/>
    </xf>
    <xf numFmtId="43" fontId="131" fillId="4" borderId="5" xfId="2" applyFont="1" applyFill="1" applyBorder="1" applyAlignment="1">
      <alignment horizontal="center" vertical="center" wrapText="1"/>
    </xf>
    <xf numFmtId="0" fontId="133" fillId="4" borderId="5" xfId="0" applyFont="1" applyFill="1" applyBorder="1" applyAlignment="1">
      <alignment vertical="center" wrapText="1"/>
    </xf>
    <xf numFmtId="0" fontId="360" fillId="0" borderId="68" xfId="0" applyFont="1" applyBorder="1" applyAlignment="1">
      <alignment horizontal="center" vertical="center" wrapText="1"/>
    </xf>
    <xf numFmtId="0" fontId="360" fillId="0" borderId="68" xfId="0" applyFont="1" applyBorder="1" applyAlignment="1">
      <alignment horizontal="justify" vertical="center" wrapText="1"/>
    </xf>
    <xf numFmtId="43" fontId="361" fillId="0" borderId="68" xfId="2" applyFont="1" applyBorder="1" applyAlignment="1">
      <alignment horizontal="center" vertical="center" wrapText="1"/>
    </xf>
    <xf numFmtId="174" fontId="361" fillId="0" borderId="68" xfId="2" applyNumberFormat="1" applyFont="1" applyBorder="1" applyAlignment="1">
      <alignment horizontal="center" vertical="center" wrapText="1"/>
    </xf>
    <xf numFmtId="0" fontId="361" fillId="0" borderId="68" xfId="0" applyFont="1" applyBorder="1" applyAlignment="1">
      <alignment horizontal="center" vertical="center" wrapText="1"/>
    </xf>
    <xf numFmtId="43" fontId="361" fillId="0" borderId="68" xfId="0" applyNumberFormat="1" applyFont="1" applyBorder="1" applyAlignment="1">
      <alignment horizontal="center" vertical="center" wrapText="1"/>
    </xf>
    <xf numFmtId="0" fontId="361" fillId="0" borderId="0" xfId="0" applyFont="1"/>
    <xf numFmtId="174" fontId="131" fillId="4" borderId="5" xfId="2" applyNumberFormat="1" applyFont="1" applyFill="1" applyBorder="1" applyAlignment="1">
      <alignment horizontal="center" vertical="center" wrapText="1"/>
    </xf>
    <xf numFmtId="0" fontId="131" fillId="4" borderId="0" xfId="0" applyFont="1" applyFill="1"/>
    <xf numFmtId="3" fontId="47" fillId="4" borderId="0" xfId="0" applyNumberFormat="1" applyFont="1" applyFill="1" applyAlignment="1">
      <alignment vertical="center"/>
    </xf>
    <xf numFmtId="167" fontId="44" fillId="4" borderId="0" xfId="0" applyNumberFormat="1" applyFont="1" applyFill="1" applyAlignment="1">
      <alignment vertical="center"/>
    </xf>
    <xf numFmtId="167" fontId="44" fillId="4" borderId="0" xfId="2" applyNumberFormat="1" applyFont="1" applyFill="1" applyAlignment="1">
      <alignment vertical="center"/>
    </xf>
    <xf numFmtId="0" fontId="44" fillId="4" borderId="0" xfId="0" applyFont="1" applyFill="1" applyAlignment="1">
      <alignment vertical="center"/>
    </xf>
    <xf numFmtId="170" fontId="44" fillId="4" borderId="0" xfId="0" applyNumberFormat="1" applyFont="1" applyFill="1" applyAlignment="1">
      <alignment vertical="center"/>
    </xf>
    <xf numFmtId="0" fontId="155" fillId="4" borderId="0" xfId="0" applyFont="1" applyFill="1" applyAlignment="1">
      <alignment horizontal="justify"/>
    </xf>
    <xf numFmtId="167" fontId="55" fillId="4" borderId="5" xfId="2" applyNumberFormat="1" applyFont="1" applyFill="1" applyBorder="1" applyAlignment="1">
      <alignment horizontal="center" vertical="center"/>
    </xf>
    <xf numFmtId="0" fontId="55" fillId="4" borderId="0" xfId="0" applyFont="1" applyFill="1" applyAlignment="1">
      <alignment horizontal="justify"/>
    </xf>
    <xf numFmtId="177" fontId="55" fillId="4" borderId="5" xfId="2" applyNumberFormat="1" applyFont="1" applyFill="1" applyBorder="1" applyAlignment="1">
      <alignment horizontal="right" vertical="center" wrapText="1"/>
    </xf>
    <xf numFmtId="177" fontId="155" fillId="4" borderId="5" xfId="2" applyNumberFormat="1" applyFont="1" applyFill="1" applyBorder="1" applyAlignment="1">
      <alignment horizontal="right" vertical="center" wrapText="1"/>
    </xf>
    <xf numFmtId="177" fontId="155" fillId="4" borderId="5" xfId="2" applyNumberFormat="1" applyFont="1" applyFill="1" applyBorder="1" applyAlignment="1">
      <alignment vertical="center"/>
    </xf>
    <xf numFmtId="177" fontId="155" fillId="4" borderId="5" xfId="2" applyNumberFormat="1" applyFont="1" applyFill="1" applyBorder="1" applyAlignment="1">
      <alignment horizontal="right" vertical="center"/>
    </xf>
    <xf numFmtId="0" fontId="155" fillId="4" borderId="5" xfId="0" applyFont="1" applyFill="1" applyBorder="1" applyAlignment="1">
      <alignment horizontal="justify" vertical="center" wrapText="1"/>
    </xf>
    <xf numFmtId="0" fontId="38" fillId="4" borderId="5" xfId="0" applyFont="1" applyFill="1" applyBorder="1" applyAlignment="1">
      <alignment horizontal="center" vertical="center"/>
    </xf>
    <xf numFmtId="0" fontId="38" fillId="4" borderId="5" xfId="0" applyFont="1" applyFill="1" applyBorder="1" applyAlignment="1">
      <alignment horizontal="justify" vertical="center" wrapText="1"/>
    </xf>
    <xf numFmtId="177" fontId="38" fillId="4" borderId="5" xfId="2" applyNumberFormat="1" applyFont="1" applyFill="1" applyBorder="1" applyAlignment="1">
      <alignment horizontal="right" vertical="center" wrapText="1"/>
    </xf>
    <xf numFmtId="177" fontId="38" fillId="4" borderId="5" xfId="2" applyNumberFormat="1" applyFont="1" applyFill="1" applyBorder="1" applyAlignment="1">
      <alignment vertical="center" wrapText="1"/>
    </xf>
    <xf numFmtId="177" fontId="38" fillId="4" borderId="5" xfId="2" applyNumberFormat="1" applyFont="1" applyFill="1" applyBorder="1" applyAlignment="1">
      <alignment vertical="center"/>
    </xf>
    <xf numFmtId="177" fontId="38" fillId="4" borderId="5" xfId="0" applyNumberFormat="1" applyFont="1" applyFill="1" applyBorder="1" applyAlignment="1">
      <alignment vertical="center"/>
    </xf>
    <xf numFmtId="0" fontId="38" fillId="4" borderId="0" xfId="0" applyFont="1" applyFill="1" applyAlignment="1">
      <alignment horizontal="justify"/>
    </xf>
    <xf numFmtId="177" fontId="155" fillId="4" borderId="5" xfId="0" applyNumberFormat="1" applyFont="1" applyFill="1" applyBorder="1" applyAlignment="1">
      <alignment vertical="center"/>
    </xf>
    <xf numFmtId="177" fontId="38" fillId="4" borderId="5" xfId="2" applyNumberFormat="1" applyFont="1" applyFill="1" applyBorder="1" applyAlignment="1">
      <alignment horizontal="right" vertical="center"/>
    </xf>
    <xf numFmtId="174" fontId="22" fillId="4" borderId="3" xfId="2" applyNumberFormat="1" applyFont="1" applyFill="1" applyBorder="1" applyAlignment="1">
      <alignment horizontal="center" vertical="center" wrapText="1"/>
    </xf>
    <xf numFmtId="0" fontId="70" fillId="4" borderId="69" xfId="0" quotePrefix="1" applyFont="1" applyFill="1" applyBorder="1" applyAlignment="1">
      <alignment horizontal="center" vertical="center" wrapText="1"/>
    </xf>
    <xf numFmtId="0" fontId="6" fillId="4" borderId="69" xfId="0" quotePrefix="1" applyFont="1" applyFill="1" applyBorder="1" applyAlignment="1">
      <alignment horizontal="left" vertical="center" wrapText="1"/>
    </xf>
    <xf numFmtId="174" fontId="70" fillId="4" borderId="69" xfId="2" applyNumberFormat="1" applyFont="1" applyFill="1" applyBorder="1" applyAlignment="1">
      <alignment horizontal="right" vertical="center" wrapText="1"/>
    </xf>
    <xf numFmtId="168" fontId="70" fillId="4" borderId="69" xfId="2" applyNumberFormat="1" applyFont="1" applyFill="1" applyBorder="1" applyAlignment="1">
      <alignment horizontal="right" vertical="center" wrapText="1"/>
    </xf>
    <xf numFmtId="3" fontId="70" fillId="4" borderId="69" xfId="2" applyNumberFormat="1" applyFont="1" applyFill="1" applyBorder="1" applyAlignment="1">
      <alignment horizontal="left" vertical="center" wrapText="1"/>
    </xf>
    <xf numFmtId="336" fontId="70" fillId="4" borderId="21" xfId="2" applyNumberFormat="1" applyFont="1" applyFill="1" applyBorder="1" applyAlignment="1">
      <alignment horizontal="left" vertical="center" wrapText="1"/>
    </xf>
    <xf numFmtId="0" fontId="364" fillId="4" borderId="5" xfId="0" applyFont="1" applyFill="1" applyBorder="1" applyAlignment="1">
      <alignment horizontal="center" vertical="center"/>
    </xf>
    <xf numFmtId="0" fontId="57" fillId="4" borderId="5" xfId="0" applyFont="1" applyFill="1" applyBorder="1" applyAlignment="1">
      <alignment horizontal="justify" vertical="center" wrapText="1"/>
    </xf>
    <xf numFmtId="177" fontId="364" fillId="4" borderId="5" xfId="2" applyNumberFormat="1" applyFont="1" applyFill="1" applyBorder="1" applyAlignment="1">
      <alignment vertical="center" wrapText="1"/>
    </xf>
    <xf numFmtId="177" fontId="364" fillId="4" borderId="5" xfId="2" applyNumberFormat="1" applyFont="1" applyFill="1" applyBorder="1" applyAlignment="1">
      <alignment horizontal="right" vertical="center" wrapText="1"/>
    </xf>
    <xf numFmtId="177" fontId="364" fillId="4" borderId="5" xfId="2" applyNumberFormat="1" applyFont="1" applyFill="1" applyBorder="1" applyAlignment="1">
      <alignment vertical="center"/>
    </xf>
    <xf numFmtId="177" fontId="57" fillId="4" borderId="5" xfId="2" applyNumberFormat="1" applyFont="1" applyFill="1" applyBorder="1" applyAlignment="1">
      <alignment horizontal="right" vertical="center" wrapText="1"/>
    </xf>
    <xf numFmtId="0" fontId="364" fillId="4" borderId="0" xfId="0" applyFont="1" applyFill="1" applyAlignment="1">
      <alignment horizontal="justify"/>
    </xf>
    <xf numFmtId="177" fontId="364" fillId="4" borderId="0" xfId="0" applyNumberFormat="1" applyFont="1" applyFill="1" applyAlignment="1">
      <alignment horizontal="justify"/>
    </xf>
    <xf numFmtId="0" fontId="364" fillId="4" borderId="5" xfId="0" applyFont="1" applyFill="1" applyBorder="1" applyAlignment="1">
      <alignment horizontal="justify" vertical="center" wrapText="1"/>
    </xf>
    <xf numFmtId="177" fontId="38" fillId="4" borderId="0" xfId="0" applyNumberFormat="1" applyFont="1" applyFill="1" applyAlignment="1">
      <alignment horizontal="justify"/>
    </xf>
    <xf numFmtId="41" fontId="38" fillId="4" borderId="5" xfId="0" applyNumberFormat="1" applyFont="1" applyFill="1" applyBorder="1" applyAlignment="1">
      <alignment horizontal="left" vertical="center" wrapText="1"/>
    </xf>
    <xf numFmtId="177" fontId="38" fillId="4" borderId="5" xfId="0" applyNumberFormat="1" applyFont="1" applyFill="1" applyBorder="1" applyAlignment="1">
      <alignment horizontal="right" vertical="center" wrapText="1"/>
    </xf>
    <xf numFmtId="0" fontId="364" fillId="4" borderId="5" xfId="0" applyFont="1" applyFill="1" applyBorder="1" applyAlignment="1">
      <alignment vertical="center" wrapText="1"/>
    </xf>
    <xf numFmtId="177" fontId="60" fillId="4" borderId="0" xfId="0" applyNumberFormat="1" applyFont="1" applyFill="1"/>
    <xf numFmtId="177" fontId="154" fillId="4" borderId="5" xfId="2" applyNumberFormat="1" applyFont="1" applyFill="1" applyBorder="1" applyAlignment="1">
      <alignment horizontal="right" vertical="center" wrapText="1"/>
    </xf>
    <xf numFmtId="173" fontId="60" fillId="4" borderId="0" xfId="0" applyNumberFormat="1" applyFont="1" applyFill="1"/>
    <xf numFmtId="170" fontId="7" fillId="4" borderId="0" xfId="0" applyNumberFormat="1" applyFont="1" applyFill="1" applyAlignment="1">
      <alignment vertical="center"/>
    </xf>
    <xf numFmtId="170" fontId="56" fillId="4" borderId="0" xfId="2" applyNumberFormat="1" applyFont="1" applyFill="1" applyBorder="1" applyAlignment="1"/>
    <xf numFmtId="177" fontId="154" fillId="4" borderId="5" xfId="2" applyNumberFormat="1" applyFont="1" applyFill="1" applyBorder="1" applyAlignment="1">
      <alignment vertical="center" wrapText="1"/>
    </xf>
    <xf numFmtId="0" fontId="55" fillId="4" borderId="68" xfId="0" applyFont="1" applyFill="1" applyBorder="1" applyAlignment="1">
      <alignment horizontal="center" vertical="center" wrapText="1"/>
    </xf>
    <xf numFmtId="167" fontId="57" fillId="4" borderId="68" xfId="2" applyNumberFormat="1" applyFont="1" applyFill="1" applyBorder="1" applyAlignment="1">
      <alignment vertical="center" wrapText="1"/>
    </xf>
    <xf numFmtId="177" fontId="55" fillId="4" borderId="68" xfId="2" applyNumberFormat="1" applyFont="1" applyFill="1" applyBorder="1" applyAlignment="1">
      <alignment horizontal="right" vertical="center" wrapText="1"/>
    </xf>
    <xf numFmtId="177" fontId="55" fillId="4" borderId="4" xfId="2" applyNumberFormat="1" applyFont="1" applyFill="1" applyBorder="1" applyAlignment="1">
      <alignment horizontal="right" vertical="center" wrapText="1"/>
    </xf>
    <xf numFmtId="177" fontId="55" fillId="4" borderId="5" xfId="2" applyNumberFormat="1" applyFont="1" applyFill="1" applyBorder="1" applyAlignment="1">
      <alignment vertical="center" wrapText="1"/>
    </xf>
    <xf numFmtId="177" fontId="57" fillId="4" borderId="5" xfId="2" applyNumberFormat="1" applyFont="1" applyFill="1" applyBorder="1" applyAlignment="1">
      <alignment vertical="center" wrapText="1"/>
    </xf>
    <xf numFmtId="174" fontId="98" fillId="4" borderId="0" xfId="2" applyNumberFormat="1" applyFont="1" applyFill="1" applyAlignment="1"/>
    <xf numFmtId="0" fontId="3" fillId="4" borderId="0" xfId="0" applyFont="1" applyFill="1" applyAlignment="1">
      <alignment vertical="center"/>
    </xf>
    <xf numFmtId="167" fontId="7" fillId="4" borderId="0" xfId="0" applyNumberFormat="1" applyFont="1" applyFill="1" applyAlignment="1">
      <alignment vertical="center"/>
    </xf>
    <xf numFmtId="173" fontId="52" fillId="4" borderId="13" xfId="2" applyNumberFormat="1" applyFont="1" applyFill="1" applyBorder="1" applyAlignment="1">
      <alignment wrapText="1"/>
    </xf>
    <xf numFmtId="177" fontId="55" fillId="4" borderId="4" xfId="2" applyNumberFormat="1" applyFont="1" applyFill="1" applyBorder="1" applyAlignment="1">
      <alignment vertical="center" wrapText="1"/>
    </xf>
    <xf numFmtId="177" fontId="55" fillId="4" borderId="5" xfId="2" applyNumberFormat="1" applyFont="1" applyFill="1" applyBorder="1" applyAlignment="1">
      <alignment horizontal="right" vertical="center"/>
    </xf>
    <xf numFmtId="177" fontId="38" fillId="4" borderId="5" xfId="0" applyNumberFormat="1" applyFont="1" applyFill="1" applyBorder="1" applyAlignment="1">
      <alignment vertical="center" wrapText="1"/>
    </xf>
    <xf numFmtId="177" fontId="51" fillId="4" borderId="0" xfId="0" applyNumberFormat="1" applyFont="1" applyFill="1"/>
    <xf numFmtId="0" fontId="57" fillId="4" borderId="68" xfId="0" applyFont="1" applyFill="1" applyBorder="1" applyAlignment="1">
      <alignment horizontal="center" vertical="center" wrapText="1"/>
    </xf>
    <xf numFmtId="173" fontId="52" fillId="4" borderId="0" xfId="2" applyNumberFormat="1" applyFont="1" applyFill="1" applyAlignment="1"/>
    <xf numFmtId="175" fontId="52" fillId="4" borderId="0" xfId="2" applyNumberFormat="1" applyFont="1" applyFill="1" applyAlignment="1"/>
    <xf numFmtId="167" fontId="7" fillId="4" borderId="0" xfId="2" applyNumberFormat="1" applyFont="1" applyFill="1" applyAlignment="1">
      <alignment vertical="center"/>
    </xf>
    <xf numFmtId="167" fontId="52" fillId="4" borderId="0" xfId="2" applyNumberFormat="1" applyFont="1" applyFill="1" applyBorder="1" applyAlignment="1"/>
    <xf numFmtId="177" fontId="57" fillId="4" borderId="5" xfId="2" applyNumberFormat="1" applyFont="1" applyFill="1" applyBorder="1" applyAlignment="1">
      <alignment vertical="center"/>
    </xf>
    <xf numFmtId="170" fontId="55" fillId="4" borderId="68" xfId="2" applyNumberFormat="1" applyFont="1" applyFill="1" applyBorder="1" applyAlignment="1">
      <alignment horizontal="center" vertical="center" wrapText="1"/>
    </xf>
    <xf numFmtId="0" fontId="55" fillId="4" borderId="68" xfId="0" applyFont="1" applyFill="1" applyBorder="1" applyAlignment="1">
      <alignment vertical="center" wrapText="1"/>
    </xf>
    <xf numFmtId="0" fontId="7" fillId="4" borderId="0" xfId="0" applyFont="1" applyFill="1" applyAlignment="1">
      <alignment vertical="center"/>
    </xf>
    <xf numFmtId="170" fontId="52" fillId="4" borderId="0" xfId="2" applyNumberFormat="1" applyFont="1" applyFill="1" applyBorder="1" applyAlignment="1"/>
    <xf numFmtId="0" fontId="55" fillId="4" borderId="4" xfId="0" applyFont="1" applyFill="1" applyBorder="1" applyAlignment="1">
      <alignment vertical="center" wrapText="1"/>
    </xf>
    <xf numFmtId="0" fontId="55" fillId="4" borderId="5" xfId="0" applyFont="1" applyFill="1" applyBorder="1" applyAlignment="1">
      <alignment horizontal="center" vertical="center"/>
    </xf>
    <xf numFmtId="0" fontId="55" fillId="4" borderId="5" xfId="0" applyFont="1" applyFill="1" applyBorder="1" applyAlignment="1">
      <alignment horizontal="justify" vertical="center" wrapText="1"/>
    </xf>
    <xf numFmtId="0" fontId="55" fillId="4" borderId="5" xfId="0" applyFont="1" applyFill="1" applyBorder="1" applyAlignment="1">
      <alignment vertical="center"/>
    </xf>
    <xf numFmtId="0" fontId="38" fillId="4" borderId="5" xfId="0" applyFont="1" applyFill="1" applyBorder="1" applyAlignment="1">
      <alignment vertical="center" wrapText="1"/>
    </xf>
    <xf numFmtId="0" fontId="38" fillId="4" borderId="5" xfId="0" quotePrefix="1" applyFont="1" applyFill="1" applyBorder="1" applyAlignment="1">
      <alignment horizontal="justify" vertical="center" wrapText="1"/>
    </xf>
    <xf numFmtId="167" fontId="38" fillId="4" borderId="0" xfId="0" applyNumberFormat="1" applyFont="1" applyFill="1" applyAlignment="1">
      <alignment horizontal="justify"/>
    </xf>
    <xf numFmtId="167" fontId="55" fillId="4" borderId="5" xfId="2" applyNumberFormat="1" applyFont="1" applyFill="1" applyBorder="1" applyAlignment="1">
      <alignment vertical="center"/>
    </xf>
    <xf numFmtId="0" fontId="154" fillId="4" borderId="0" xfId="0" applyFont="1" applyFill="1" applyAlignment="1">
      <alignment horizontal="justify"/>
    </xf>
    <xf numFmtId="170" fontId="38" fillId="4" borderId="5" xfId="828" applyNumberFormat="1" applyFont="1" applyFill="1" applyBorder="1" applyAlignment="1">
      <alignment horizontal="justify" vertical="center" wrapText="1"/>
    </xf>
    <xf numFmtId="170" fontId="38" fillId="4" borderId="5" xfId="828" applyNumberFormat="1" applyFont="1" applyFill="1" applyBorder="1" applyAlignment="1">
      <alignment horizontal="justify" vertical="center"/>
    </xf>
    <xf numFmtId="0" fontId="154" fillId="4" borderId="5" xfId="0" applyFont="1" applyFill="1" applyBorder="1" applyAlignment="1">
      <alignment horizontal="center" vertical="center"/>
    </xf>
    <xf numFmtId="0" fontId="154" fillId="4" borderId="5" xfId="0" applyFont="1" applyFill="1" applyBorder="1" applyAlignment="1">
      <alignment horizontal="justify" vertical="center" wrapText="1"/>
    </xf>
    <xf numFmtId="0" fontId="57" fillId="4" borderId="0" xfId="0" applyFont="1" applyFill="1" applyAlignment="1">
      <alignment horizontal="justify"/>
    </xf>
    <xf numFmtId="168" fontId="56" fillId="4" borderId="0" xfId="2" applyNumberFormat="1" applyFont="1" applyFill="1" applyBorder="1" applyAlignment="1"/>
    <xf numFmtId="168" fontId="138" fillId="4" borderId="0" xfId="2" applyNumberFormat="1" applyFont="1" applyFill="1" applyBorder="1" applyAlignment="1"/>
    <xf numFmtId="169" fontId="52" fillId="4" borderId="0" xfId="2" applyNumberFormat="1" applyFont="1" applyFill="1" applyAlignment="1"/>
    <xf numFmtId="174" fontId="50" fillId="4" borderId="0" xfId="2" applyNumberFormat="1" applyFont="1" applyFill="1" applyBorder="1" applyAlignment="1">
      <alignment horizontal="right" vertical="center" wrapText="1"/>
    </xf>
    <xf numFmtId="0" fontId="57" fillId="4" borderId="5" xfId="0" applyFont="1" applyFill="1" applyBorder="1" applyAlignment="1">
      <alignment horizontal="center" vertical="center"/>
    </xf>
    <xf numFmtId="0" fontId="57" fillId="4" borderId="5" xfId="0" applyFont="1" applyFill="1" applyBorder="1" applyAlignment="1">
      <alignment vertical="center" wrapText="1"/>
    </xf>
    <xf numFmtId="177" fontId="57" fillId="4" borderId="0" xfId="0" applyNumberFormat="1" applyFont="1" applyFill="1" applyAlignment="1">
      <alignment horizontal="justify"/>
    </xf>
    <xf numFmtId="0" fontId="55" fillId="0" borderId="21" xfId="0" applyFont="1" applyBorder="1" applyAlignment="1">
      <alignment horizontal="center" vertical="center" wrapText="1"/>
    </xf>
    <xf numFmtId="43" fontId="133" fillId="4" borderId="5" xfId="2" applyFont="1" applyFill="1" applyBorder="1" applyAlignment="1">
      <alignment horizontal="center" vertical="center" wrapText="1"/>
    </xf>
    <xf numFmtId="0" fontId="131" fillId="4" borderId="5" xfId="0" applyFont="1" applyFill="1" applyBorder="1" applyAlignment="1">
      <alignment horizontal="justify" vertical="center" wrapText="1"/>
    </xf>
    <xf numFmtId="0" fontId="133" fillId="4" borderId="5" xfId="0" applyFont="1" applyFill="1" applyBorder="1" applyAlignment="1">
      <alignment horizontal="center" vertical="center" wrapText="1"/>
    </xf>
    <xf numFmtId="0" fontId="133" fillId="4" borderId="5" xfId="0" applyFont="1" applyFill="1" applyBorder="1" applyAlignment="1">
      <alignment horizontal="justify" vertical="center" wrapText="1"/>
    </xf>
    <xf numFmtId="0" fontId="131" fillId="4" borderId="6" xfId="0" applyFont="1" applyFill="1" applyBorder="1" applyAlignment="1">
      <alignment horizontal="center" vertical="center" wrapText="1"/>
    </xf>
    <xf numFmtId="0" fontId="131" fillId="4" borderId="6" xfId="0" applyFont="1" applyFill="1" applyBorder="1" applyAlignment="1">
      <alignment vertical="center" wrapText="1"/>
    </xf>
    <xf numFmtId="43" fontId="132" fillId="4" borderId="6" xfId="2" applyFont="1" applyFill="1" applyBorder="1" applyAlignment="1">
      <alignment horizontal="center" vertical="center" wrapText="1"/>
    </xf>
    <xf numFmtId="43" fontId="131" fillId="4" borderId="6" xfId="2" applyFont="1" applyFill="1" applyBorder="1" applyAlignment="1">
      <alignment horizontal="center" vertical="center" wrapText="1"/>
    </xf>
    <xf numFmtId="174" fontId="131" fillId="4" borderId="6" xfId="2" applyNumberFormat="1" applyFont="1" applyFill="1" applyBorder="1" applyAlignment="1">
      <alignment horizontal="center" vertical="center" wrapText="1"/>
    </xf>
    <xf numFmtId="0" fontId="131" fillId="4" borderId="4" xfId="0" applyFont="1" applyFill="1" applyBorder="1" applyAlignment="1">
      <alignment horizontal="center" vertical="center" wrapText="1"/>
    </xf>
    <xf numFmtId="0" fontId="131" fillId="4" borderId="4" xfId="0" applyFont="1" applyFill="1" applyBorder="1" applyAlignment="1">
      <alignment vertical="center" wrapText="1"/>
    </xf>
    <xf numFmtId="43" fontId="131" fillId="4" borderId="4" xfId="2" applyFont="1" applyFill="1" applyBorder="1" applyAlignment="1">
      <alignment horizontal="center" vertical="center" wrapText="1"/>
    </xf>
    <xf numFmtId="177" fontId="55" fillId="4" borderId="0" xfId="0" applyNumberFormat="1" applyFont="1" applyFill="1" applyAlignment="1">
      <alignment horizontal="justify"/>
    </xf>
    <xf numFmtId="181" fontId="131" fillId="4" borderId="5" xfId="0" applyNumberFormat="1" applyFont="1" applyFill="1" applyBorder="1" applyAlignment="1">
      <alignment vertical="center"/>
    </xf>
    <xf numFmtId="181" fontId="131" fillId="4" borderId="0" xfId="0" applyNumberFormat="1" applyFont="1" applyFill="1"/>
    <xf numFmtId="172" fontId="132" fillId="4" borderId="5" xfId="2" applyNumberFormat="1" applyFont="1" applyFill="1" applyBorder="1" applyAlignment="1">
      <alignment horizontal="center" vertical="center" wrapText="1"/>
    </xf>
    <xf numFmtId="175" fontId="131" fillId="4" borderId="5" xfId="2" applyNumberFormat="1" applyFont="1" applyFill="1" applyBorder="1" applyAlignment="1">
      <alignment horizontal="center" vertical="center" wrapText="1"/>
    </xf>
    <xf numFmtId="169" fontId="131" fillId="4" borderId="5" xfId="2" applyNumberFormat="1" applyFont="1" applyFill="1" applyBorder="1" applyAlignment="1">
      <alignment horizontal="center" vertical="center" wrapText="1"/>
    </xf>
    <xf numFmtId="174" fontId="133" fillId="4" borderId="5" xfId="2" applyNumberFormat="1" applyFont="1" applyFill="1" applyBorder="1" applyAlignment="1">
      <alignment horizontal="center" vertical="center" wrapText="1"/>
    </xf>
    <xf numFmtId="174" fontId="131" fillId="4" borderId="0" xfId="0" applyNumberFormat="1" applyFont="1" applyFill="1"/>
    <xf numFmtId="174" fontId="133" fillId="4" borderId="0" xfId="0" applyNumberFormat="1" applyFont="1" applyFill="1"/>
    <xf numFmtId="0" fontId="133" fillId="4" borderId="0" xfId="0" applyFont="1" applyFill="1"/>
    <xf numFmtId="173" fontId="132" fillId="4" borderId="5" xfId="2" applyNumberFormat="1" applyFont="1" applyFill="1" applyBorder="1" applyAlignment="1">
      <alignment horizontal="center" vertical="center" wrapText="1"/>
    </xf>
    <xf numFmtId="181" fontId="132" fillId="4" borderId="0" xfId="0" applyNumberFormat="1" applyFont="1" applyFill="1"/>
    <xf numFmtId="174" fontId="133" fillId="4" borderId="5" xfId="2" applyNumberFormat="1" applyFont="1" applyFill="1" applyBorder="1" applyAlignment="1">
      <alignment vertical="center" wrapText="1"/>
    </xf>
    <xf numFmtId="173" fontId="133" fillId="4" borderId="5" xfId="2" applyNumberFormat="1" applyFont="1" applyFill="1" applyBorder="1" applyAlignment="1">
      <alignment horizontal="center" vertical="center" wrapText="1"/>
    </xf>
    <xf numFmtId="181" fontId="133" fillId="4" borderId="0" xfId="0" applyNumberFormat="1" applyFont="1" applyFill="1"/>
    <xf numFmtId="174" fontId="131" fillId="4" borderId="4" xfId="2" applyNumberFormat="1" applyFont="1" applyFill="1" applyBorder="1" applyAlignment="1">
      <alignment horizontal="center" vertical="center" wrapText="1"/>
    </xf>
    <xf numFmtId="181" fontId="361" fillId="0" borderId="0" xfId="0" applyNumberFormat="1" applyFont="1"/>
    <xf numFmtId="178" fontId="131" fillId="4" borderId="0" xfId="0" applyNumberFormat="1" applyFont="1" applyFill="1"/>
    <xf numFmtId="177" fontId="132" fillId="4" borderId="0" xfId="0" applyNumberFormat="1" applyFont="1" applyFill="1"/>
    <xf numFmtId="178" fontId="132" fillId="4" borderId="0" xfId="0" applyNumberFormat="1" applyFont="1" applyFill="1"/>
    <xf numFmtId="0" fontId="360" fillId="4" borderId="68" xfId="0" applyFont="1" applyFill="1" applyBorder="1" applyAlignment="1">
      <alignment horizontal="center" vertical="center" wrapText="1"/>
    </xf>
    <xf numFmtId="0" fontId="360" fillId="4" borderId="68" xfId="0" applyFont="1" applyFill="1" applyBorder="1" applyAlignment="1">
      <alignment horizontal="justify" vertical="center" wrapText="1"/>
    </xf>
    <xf numFmtId="43" fontId="361" fillId="4" borderId="68" xfId="2" applyFont="1" applyFill="1" applyBorder="1" applyAlignment="1">
      <alignment horizontal="center" vertical="center" wrapText="1"/>
    </xf>
    <xf numFmtId="174" fontId="361" fillId="4" borderId="68" xfId="2" applyNumberFormat="1" applyFont="1" applyFill="1" applyBorder="1" applyAlignment="1">
      <alignment horizontal="center" vertical="center" wrapText="1"/>
    </xf>
    <xf numFmtId="0" fontId="361" fillId="4" borderId="68" xfId="0" applyFont="1" applyFill="1" applyBorder="1" applyAlignment="1">
      <alignment horizontal="center" vertical="center" wrapText="1"/>
    </xf>
    <xf numFmtId="43" fontId="361" fillId="4" borderId="68" xfId="0" applyNumberFormat="1" applyFont="1" applyFill="1" applyBorder="1" applyAlignment="1">
      <alignment horizontal="center" vertical="center" wrapText="1"/>
    </xf>
    <xf numFmtId="174" fontId="361" fillId="4" borderId="0" xfId="0" applyNumberFormat="1" applyFont="1" applyFill="1"/>
    <xf numFmtId="0" fontId="361" fillId="4" borderId="0" xfId="0" applyFont="1" applyFill="1"/>
    <xf numFmtId="0" fontId="147" fillId="0" borderId="69" xfId="0" applyFont="1" applyBorder="1" applyAlignment="1">
      <alignment horizontal="center" vertical="center" wrapText="1"/>
    </xf>
    <xf numFmtId="0" fontId="147" fillId="0" borderId="69" xfId="0" applyFont="1" applyBorder="1" applyAlignment="1">
      <alignment vertical="center" wrapText="1"/>
    </xf>
    <xf numFmtId="43" fontId="147" fillId="0" borderId="69" xfId="2" applyFont="1" applyBorder="1" applyAlignment="1">
      <alignment horizontal="center" vertical="center" wrapText="1"/>
    </xf>
    <xf numFmtId="174" fontId="365" fillId="0" borderId="69" xfId="2" applyNumberFormat="1" applyFont="1" applyBorder="1" applyAlignment="1">
      <alignment horizontal="center" vertical="center" wrapText="1"/>
    </xf>
    <xf numFmtId="0" fontId="365" fillId="0" borderId="69" xfId="0" applyFont="1" applyBorder="1" applyAlignment="1">
      <alignment horizontal="center" vertical="center" wrapText="1"/>
    </xf>
    <xf numFmtId="0" fontId="53" fillId="0" borderId="0" xfId="0" applyFont="1"/>
    <xf numFmtId="43" fontId="365" fillId="0" borderId="69" xfId="2" applyFont="1" applyBorder="1" applyAlignment="1">
      <alignment horizontal="center" vertical="center" wrapText="1"/>
    </xf>
    <xf numFmtId="174" fontId="147" fillId="0" borderId="69" xfId="2" applyNumberFormat="1" applyFont="1" applyBorder="1" applyAlignment="1">
      <alignment horizontal="center" vertical="center" wrapText="1"/>
    </xf>
    <xf numFmtId="169" fontId="22" fillId="4" borderId="5" xfId="2" applyNumberFormat="1" applyFont="1" applyFill="1" applyBorder="1" applyAlignment="1">
      <alignment horizontal="center" vertical="center" wrapText="1"/>
    </xf>
    <xf numFmtId="169" fontId="53" fillId="4" borderId="5" xfId="2" applyNumberFormat="1" applyFont="1" applyFill="1" applyBorder="1" applyAlignment="1">
      <alignment horizontal="center" vertical="center" wrapText="1"/>
    </xf>
    <xf numFmtId="169" fontId="22" fillId="4" borderId="3" xfId="2" applyNumberFormat="1" applyFont="1" applyFill="1" applyBorder="1" applyAlignment="1">
      <alignment horizontal="center" vertical="center" wrapText="1"/>
    </xf>
    <xf numFmtId="169" fontId="22" fillId="4" borderId="4" xfId="2" applyNumberFormat="1" applyFont="1" applyFill="1" applyBorder="1" applyAlignment="1">
      <alignment horizontal="center" vertical="center" wrapText="1"/>
    </xf>
    <xf numFmtId="43" fontId="147" fillId="0" borderId="5" xfId="2" applyFont="1" applyBorder="1" applyAlignment="1">
      <alignment horizontal="center" vertical="center" wrapText="1"/>
    </xf>
    <xf numFmtId="174" fontId="365" fillId="0" borderId="5" xfId="2" applyNumberFormat="1" applyFont="1" applyBorder="1" applyAlignment="1">
      <alignment horizontal="center" vertical="center" wrapText="1"/>
    </xf>
    <xf numFmtId="43" fontId="365" fillId="0" borderId="5" xfId="2" applyFont="1" applyBorder="1" applyAlignment="1">
      <alignment horizontal="center" vertical="center" wrapText="1"/>
    </xf>
    <xf numFmtId="174" fontId="54" fillId="4" borderId="5" xfId="2" applyNumberFormat="1" applyFont="1" applyFill="1" applyBorder="1" applyAlignment="1">
      <alignment horizontal="center" vertical="center" wrapText="1"/>
    </xf>
    <xf numFmtId="43" fontId="54" fillId="4" borderId="5" xfId="2" applyFont="1" applyFill="1" applyBorder="1" applyAlignment="1">
      <alignment vertical="center" wrapText="1"/>
    </xf>
    <xf numFmtId="174" fontId="50" fillId="4" borderId="5" xfId="2" applyNumberFormat="1" applyFont="1" applyFill="1" applyBorder="1" applyAlignment="1">
      <alignment horizontal="center" vertical="center" wrapText="1"/>
    </xf>
    <xf numFmtId="174" fontId="147" fillId="0" borderId="5" xfId="2" applyNumberFormat="1" applyFont="1" applyBorder="1" applyAlignment="1">
      <alignment horizontal="center" vertical="center" wrapText="1"/>
    </xf>
    <xf numFmtId="0" fontId="22" fillId="0" borderId="0" xfId="0" applyFont="1"/>
    <xf numFmtId="174" fontId="54" fillId="4" borderId="4" xfId="2" applyNumberFormat="1" applyFont="1" applyFill="1" applyBorder="1" applyAlignment="1">
      <alignment vertical="center" wrapText="1"/>
    </xf>
    <xf numFmtId="43" fontId="54" fillId="4" borderId="4" xfId="2" applyFont="1" applyFill="1" applyBorder="1" applyAlignment="1">
      <alignment vertical="center" wrapText="1"/>
    </xf>
    <xf numFmtId="177" fontId="353" fillId="0" borderId="21" xfId="48" applyNumberFormat="1" applyFont="1" applyBorder="1" applyAlignment="1">
      <alignment vertical="center" wrapText="1"/>
    </xf>
    <xf numFmtId="177" fontId="353" fillId="0" borderId="21" xfId="943" applyNumberFormat="1" applyFont="1" applyBorder="1" applyAlignment="1">
      <alignment vertical="center" wrapText="1"/>
    </xf>
    <xf numFmtId="177" fontId="353" fillId="0" borderId="69" xfId="48" applyNumberFormat="1" applyFont="1" applyBorder="1" applyAlignment="1">
      <alignment vertical="center" wrapText="1"/>
    </xf>
    <xf numFmtId="177" fontId="353" fillId="0" borderId="0" xfId="48" applyNumberFormat="1" applyFont="1" applyAlignment="1">
      <alignment vertical="center" wrapText="1"/>
    </xf>
    <xf numFmtId="9" fontId="353" fillId="0" borderId="21" xfId="2288" applyFont="1" applyBorder="1" applyAlignment="1">
      <alignment vertical="center" wrapText="1"/>
    </xf>
    <xf numFmtId="0" fontId="55" fillId="4" borderId="7" xfId="0" applyFont="1" applyFill="1" applyBorder="1" applyAlignment="1">
      <alignment horizontal="center" vertical="center" wrapText="1"/>
    </xf>
    <xf numFmtId="0" fontId="55" fillId="4" borderId="7" xfId="0" applyFont="1" applyFill="1" applyBorder="1" applyAlignment="1">
      <alignment horizontal="left" vertical="center" wrapText="1"/>
    </xf>
    <xf numFmtId="188" fontId="55" fillId="4" borderId="7" xfId="2" applyNumberFormat="1" applyFont="1" applyFill="1" applyBorder="1" applyAlignment="1">
      <alignment horizontal="center" vertical="center" wrapText="1"/>
    </xf>
    <xf numFmtId="1" fontId="55" fillId="4" borderId="7" xfId="0" applyNumberFormat="1" applyFont="1" applyFill="1" applyBorder="1" applyAlignment="1">
      <alignment horizontal="center" vertical="center" wrapText="1"/>
    </xf>
    <xf numFmtId="43" fontId="55" fillId="4" borderId="7" xfId="2" applyFont="1" applyFill="1" applyBorder="1" applyAlignment="1">
      <alignment horizontal="right" vertical="center" wrapText="1"/>
    </xf>
    <xf numFmtId="0" fontId="57" fillId="4" borderId="7" xfId="0" applyFont="1" applyFill="1" applyBorder="1" applyAlignment="1">
      <alignment horizontal="center" vertical="center" wrapText="1"/>
    </xf>
    <xf numFmtId="0" fontId="57" fillId="4" borderId="7" xfId="0" applyFont="1" applyFill="1" applyBorder="1" applyAlignment="1">
      <alignment horizontal="left" vertical="center" wrapText="1"/>
    </xf>
    <xf numFmtId="188" fontId="57" fillId="4" borderId="7" xfId="2" applyNumberFormat="1" applyFont="1" applyFill="1" applyBorder="1" applyAlignment="1">
      <alignment horizontal="center" vertical="center" wrapText="1"/>
    </xf>
    <xf numFmtId="1" fontId="57" fillId="4" borderId="7" xfId="0" applyNumberFormat="1" applyFont="1" applyFill="1" applyBorder="1" applyAlignment="1">
      <alignment horizontal="center" vertical="center" wrapText="1"/>
    </xf>
    <xf numFmtId="43" fontId="57" fillId="4" borderId="7" xfId="2" applyFont="1" applyFill="1" applyBorder="1" applyAlignment="1">
      <alignment horizontal="right" vertical="center" wrapText="1"/>
    </xf>
    <xf numFmtId="0" fontId="57" fillId="0" borderId="69" xfId="0" applyFont="1" applyBorder="1" applyAlignment="1">
      <alignment horizontal="center" vertical="center" wrapText="1"/>
    </xf>
    <xf numFmtId="1" fontId="55" fillId="0" borderId="69" xfId="0" applyNumberFormat="1" applyFont="1" applyBorder="1" applyAlignment="1">
      <alignment horizontal="center" vertical="center" wrapText="1"/>
    </xf>
    <xf numFmtId="188" fontId="38" fillId="4" borderId="10" xfId="2" applyNumberFormat="1" applyFont="1" applyFill="1" applyBorder="1" applyAlignment="1">
      <alignment horizontal="center" vertical="center" wrapText="1"/>
    </xf>
    <xf numFmtId="10" fontId="55" fillId="0" borderId="21" xfId="2288" applyNumberFormat="1" applyFont="1" applyFill="1" applyBorder="1" applyAlignment="1">
      <alignment horizontal="right" vertical="center" wrapText="1"/>
    </xf>
    <xf numFmtId="10" fontId="38" fillId="0" borderId="21" xfId="2288" applyNumberFormat="1" applyFont="1" applyFill="1" applyBorder="1" applyAlignment="1">
      <alignment horizontal="right" vertical="center" wrapText="1"/>
    </xf>
    <xf numFmtId="0" fontId="57" fillId="0" borderId="13" xfId="0" applyFont="1" applyBorder="1" applyAlignment="1">
      <alignment vertical="center" wrapText="1"/>
    </xf>
    <xf numFmtId="0" fontId="57" fillId="4" borderId="21" xfId="0" applyFont="1" applyFill="1" applyBorder="1" applyAlignment="1">
      <alignment horizontal="center" vertical="center" wrapText="1"/>
    </xf>
    <xf numFmtId="43" fontId="55" fillId="4" borderId="21" xfId="2" applyFont="1" applyFill="1" applyBorder="1" applyAlignment="1">
      <alignment horizontal="right" vertical="center" wrapText="1"/>
    </xf>
    <xf numFmtId="0" fontId="57" fillId="4" borderId="13" xfId="0" applyFont="1" applyFill="1" applyBorder="1" applyAlignment="1">
      <alignment vertical="center" wrapText="1"/>
    </xf>
    <xf numFmtId="43" fontId="57" fillId="0" borderId="13" xfId="0" applyNumberFormat="1" applyFont="1" applyBorder="1" applyAlignment="1">
      <alignment vertical="center" wrapText="1"/>
    </xf>
    <xf numFmtId="174" fontId="38" fillId="0" borderId="13" xfId="0" applyNumberFormat="1" applyFont="1" applyBorder="1" applyAlignment="1">
      <alignment vertical="center" wrapText="1"/>
    </xf>
    <xf numFmtId="174" fontId="38" fillId="4" borderId="13" xfId="0" applyNumberFormat="1" applyFont="1" applyFill="1" applyBorder="1" applyAlignment="1">
      <alignment vertical="center" wrapText="1"/>
    </xf>
    <xf numFmtId="0" fontId="57" fillId="4" borderId="69" xfId="0" applyFont="1" applyFill="1" applyBorder="1" applyAlignment="1">
      <alignment horizontal="center" vertical="center" wrapText="1"/>
    </xf>
    <xf numFmtId="0" fontId="154" fillId="4" borderId="7" xfId="0" applyFont="1" applyFill="1" applyBorder="1" applyAlignment="1">
      <alignment horizontal="center" vertical="center" wrapText="1"/>
    </xf>
    <xf numFmtId="0" fontId="154" fillId="4" borderId="7" xfId="0" applyFont="1" applyFill="1" applyBorder="1" applyAlignment="1">
      <alignment horizontal="left" vertical="center" wrapText="1"/>
    </xf>
    <xf numFmtId="188" fontId="154" fillId="4" borderId="7" xfId="2" applyNumberFormat="1" applyFont="1" applyFill="1" applyBorder="1" applyAlignment="1">
      <alignment horizontal="center" vertical="center" wrapText="1"/>
    </xf>
    <xf numFmtId="1" fontId="154" fillId="4" borderId="7" xfId="0" applyNumberFormat="1" applyFont="1" applyFill="1" applyBorder="1" applyAlignment="1">
      <alignment horizontal="center" vertical="center" wrapText="1"/>
    </xf>
    <xf numFmtId="43" fontId="154" fillId="4" borderId="7" xfId="2" applyFont="1" applyFill="1" applyBorder="1" applyAlignment="1">
      <alignment horizontal="right" vertical="center" wrapText="1"/>
    </xf>
    <xf numFmtId="10" fontId="154" fillId="0" borderId="21" xfId="2288" applyNumberFormat="1" applyFont="1" applyFill="1" applyBorder="1" applyAlignment="1">
      <alignment horizontal="right" vertical="center" wrapText="1"/>
    </xf>
    <xf numFmtId="0" fontId="18" fillId="0" borderId="69" xfId="0" applyFont="1" applyBorder="1" applyAlignment="1">
      <alignment horizontal="justify" wrapText="1"/>
    </xf>
    <xf numFmtId="0" fontId="32" fillId="0" borderId="69" xfId="0" applyFont="1" applyBorder="1" applyAlignment="1">
      <alignment horizontal="center"/>
    </xf>
    <xf numFmtId="0" fontId="32" fillId="0" borderId="69" xfId="0" applyFont="1" applyBorder="1"/>
    <xf numFmtId="0" fontId="32" fillId="0" borderId="69" xfId="0" applyFont="1" applyBorder="1" applyAlignment="1">
      <alignment horizontal="justify" wrapText="1"/>
    </xf>
    <xf numFmtId="0" fontId="18" fillId="0" borderId="69" xfId="0" applyFont="1" applyBorder="1" applyAlignment="1">
      <alignment horizontal="center"/>
    </xf>
    <xf numFmtId="0" fontId="18" fillId="0" borderId="69" xfId="0" applyFont="1" applyBorder="1"/>
    <xf numFmtId="0" fontId="19" fillId="0" borderId="69" xfId="0" applyFont="1" applyBorder="1" applyAlignment="1">
      <alignment horizontal="justify" wrapText="1"/>
    </xf>
    <xf numFmtId="0" fontId="19" fillId="0" borderId="69" xfId="0" applyFont="1" applyBorder="1" applyAlignment="1">
      <alignment horizontal="left" wrapText="1"/>
    </xf>
    <xf numFmtId="0" fontId="19" fillId="4" borderId="69" xfId="0" applyFont="1" applyFill="1" applyBorder="1"/>
    <xf numFmtId="0" fontId="18" fillId="4" borderId="69" xfId="0" applyFont="1" applyFill="1" applyBorder="1" applyAlignment="1">
      <alignment horizontal="justify" wrapText="1"/>
    </xf>
    <xf numFmtId="0" fontId="19" fillId="0" borderId="69" xfId="0" applyFont="1" applyBorder="1"/>
    <xf numFmtId="0" fontId="153" fillId="4" borderId="0" xfId="0" applyFont="1" applyFill="1"/>
    <xf numFmtId="0" fontId="65" fillId="4" borderId="0" xfId="0" applyFont="1" applyFill="1"/>
    <xf numFmtId="0" fontId="264" fillId="4" borderId="0" xfId="0" applyFont="1" applyFill="1"/>
    <xf numFmtId="43" fontId="264" fillId="4" borderId="0" xfId="2" applyFont="1" applyFill="1"/>
    <xf numFmtId="173" fontId="264" fillId="4" borderId="0" xfId="2" applyNumberFormat="1" applyFont="1" applyFill="1"/>
    <xf numFmtId="0" fontId="368" fillId="4" borderId="0" xfId="0" applyFont="1" applyFill="1" applyAlignment="1">
      <alignment vertical="center" wrapText="1"/>
    </xf>
    <xf numFmtId="0" fontId="45" fillId="4" borderId="5" xfId="6" applyFont="1" applyFill="1" applyBorder="1" applyAlignment="1">
      <alignment horizontal="left" vertical="center" wrapText="1"/>
    </xf>
    <xf numFmtId="180" fontId="45" fillId="4" borderId="5" xfId="2" applyNumberFormat="1" applyFont="1" applyFill="1" applyBorder="1" applyAlignment="1">
      <alignment horizontal="right" vertical="center" wrapText="1"/>
    </xf>
    <xf numFmtId="180" fontId="50" fillId="4" borderId="5" xfId="2" applyNumberFormat="1" applyFont="1" applyFill="1" applyBorder="1" applyAlignment="1">
      <alignment horizontal="right" vertical="center" wrapText="1"/>
    </xf>
    <xf numFmtId="180" fontId="45" fillId="4" borderId="5" xfId="0" applyNumberFormat="1" applyFont="1" applyFill="1" applyBorder="1" applyAlignment="1">
      <alignment horizontal="right" vertical="center" wrapText="1"/>
    </xf>
    <xf numFmtId="180" fontId="50" fillId="4" borderId="5" xfId="0" applyNumberFormat="1" applyFont="1" applyFill="1" applyBorder="1" applyAlignment="1">
      <alignment horizontal="right" vertical="center" wrapText="1"/>
    </xf>
    <xf numFmtId="177" fontId="45" fillId="4" borderId="5" xfId="0" applyNumberFormat="1" applyFont="1" applyFill="1" applyBorder="1" applyAlignment="1">
      <alignment horizontal="right" vertical="center" wrapText="1"/>
    </xf>
    <xf numFmtId="177" fontId="45" fillId="4" borderId="5" xfId="2" applyNumberFormat="1" applyFont="1" applyFill="1" applyBorder="1" applyAlignment="1">
      <alignment horizontal="right" vertical="center" wrapText="1"/>
    </xf>
    <xf numFmtId="339" fontId="45" fillId="4" borderId="5" xfId="0" applyNumberFormat="1" applyFont="1" applyFill="1" applyBorder="1" applyAlignment="1">
      <alignment horizontal="right" vertical="center" wrapText="1"/>
    </xf>
    <xf numFmtId="177" fontId="50" fillId="4" borderId="0" xfId="0" applyNumberFormat="1" applyFont="1" applyFill="1" applyAlignment="1">
      <alignment horizontal="center" vertical="center" wrapText="1"/>
    </xf>
    <xf numFmtId="339" fontId="50" fillId="4" borderId="0" xfId="0" applyNumberFormat="1" applyFont="1" applyFill="1" applyAlignment="1">
      <alignment horizontal="center" vertical="center" wrapText="1"/>
    </xf>
    <xf numFmtId="0" fontId="45" fillId="4" borderId="5" xfId="0" applyFont="1" applyFill="1" applyBorder="1" applyAlignment="1">
      <alignment horizontal="left" vertical="center" wrapText="1"/>
    </xf>
    <xf numFmtId="49" fontId="45" fillId="4" borderId="5" xfId="5" applyNumberFormat="1" applyFont="1" applyFill="1" applyBorder="1" applyAlignment="1">
      <alignment horizontal="center" vertical="center" wrapText="1"/>
    </xf>
    <xf numFmtId="0" fontId="45" fillId="4" borderId="5" xfId="5" applyFont="1" applyFill="1" applyBorder="1" applyAlignment="1">
      <alignment horizontal="left" vertical="center" wrapText="1"/>
    </xf>
    <xf numFmtId="180" fontId="146" fillId="4" borderId="5" xfId="2" applyNumberFormat="1" applyFont="1" applyFill="1" applyBorder="1" applyAlignment="1">
      <alignment vertical="center" wrapText="1"/>
    </xf>
    <xf numFmtId="177" fontId="50" fillId="4" borderId="5" xfId="0" applyNumberFormat="1" applyFont="1" applyFill="1" applyBorder="1" applyAlignment="1">
      <alignment horizontal="right" vertical="center" wrapText="1"/>
    </xf>
    <xf numFmtId="340" fontId="50" fillId="4" borderId="0" xfId="0" applyNumberFormat="1" applyFont="1" applyFill="1" applyAlignment="1">
      <alignment horizontal="center" vertical="center" wrapText="1"/>
    </xf>
    <xf numFmtId="0" fontId="45" fillId="4" borderId="6" xfId="0" applyFont="1" applyFill="1" applyBorder="1" applyAlignment="1">
      <alignment horizontal="lef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vertical="center" wrapText="1"/>
    </xf>
    <xf numFmtId="0" fontId="3" fillId="0" borderId="7" xfId="0" applyFont="1" applyBorder="1" applyAlignment="1">
      <alignment horizontal="center" vertical="center" wrapText="1"/>
    </xf>
    <xf numFmtId="180" fontId="3" fillId="0" borderId="7" xfId="0" applyNumberFormat="1" applyFont="1" applyBorder="1" applyAlignment="1">
      <alignment horizontal="right" vertical="center" wrapText="1"/>
    </xf>
    <xf numFmtId="0" fontId="3" fillId="0" borderId="7" xfId="0" applyFont="1" applyBorder="1" applyAlignment="1">
      <alignment vertical="center" wrapText="1"/>
    </xf>
    <xf numFmtId="0" fontId="3" fillId="0" borderId="5" xfId="0" applyFont="1" applyBorder="1" applyAlignment="1">
      <alignment vertical="center" wrapText="1"/>
    </xf>
    <xf numFmtId="180" fontId="3" fillId="0" borderId="5" xfId="0" applyNumberFormat="1" applyFont="1" applyBorder="1" applyAlignment="1">
      <alignment vertical="center" wrapText="1"/>
    </xf>
    <xf numFmtId="0" fontId="7" fillId="0" borderId="5" xfId="0" applyFont="1" applyBorder="1" applyAlignment="1">
      <alignment horizontal="center" vertical="center" wrapText="1"/>
    </xf>
    <xf numFmtId="0" fontId="7" fillId="0" borderId="5" xfId="0" applyFont="1" applyBorder="1" applyAlignment="1">
      <alignment vertical="center" wrapText="1"/>
    </xf>
    <xf numFmtId="180" fontId="7" fillId="0" borderId="10" xfId="0" applyNumberFormat="1" applyFont="1" applyBorder="1" applyAlignment="1">
      <alignment vertical="center" wrapText="1"/>
    </xf>
    <xf numFmtId="0" fontId="7" fillId="0" borderId="10" xfId="0" applyFont="1" applyBorder="1" applyAlignment="1">
      <alignment vertical="center" wrapText="1"/>
    </xf>
    <xf numFmtId="0" fontId="7" fillId="0" borderId="6" xfId="0" applyFont="1" applyBorder="1" applyAlignment="1">
      <alignment vertical="center" wrapText="1"/>
    </xf>
    <xf numFmtId="180" fontId="7" fillId="0" borderId="6" xfId="0" applyNumberFormat="1" applyFont="1" applyBorder="1" applyAlignment="1">
      <alignment vertical="center" wrapText="1"/>
    </xf>
    <xf numFmtId="341" fontId="7" fillId="0" borderId="0" xfId="2289" applyNumberFormat="1" applyFont="1" applyAlignment="1">
      <alignment vertical="center" wrapText="1"/>
    </xf>
    <xf numFmtId="341" fontId="4" fillId="0" borderId="0" xfId="2289" applyNumberFormat="1" applyFont="1" applyAlignment="1">
      <alignment horizontal="center" vertical="center" wrapText="1"/>
    </xf>
    <xf numFmtId="341" fontId="3" fillId="0" borderId="0" xfId="2289" applyNumberFormat="1" applyFont="1" applyAlignment="1">
      <alignment horizontal="center" vertical="center" wrapText="1"/>
    </xf>
    <xf numFmtId="342" fontId="50" fillId="4" borderId="0" xfId="0" applyNumberFormat="1" applyFont="1" applyFill="1"/>
    <xf numFmtId="343" fontId="50" fillId="4" borderId="0" xfId="0" applyNumberFormat="1" applyFont="1" applyFill="1"/>
    <xf numFmtId="180" fontId="7" fillId="0" borderId="0" xfId="0" applyNumberFormat="1" applyFont="1" applyAlignment="1">
      <alignment vertical="center" wrapText="1"/>
    </xf>
    <xf numFmtId="0" fontId="369" fillId="0" borderId="0" xfId="0" applyFont="1" applyAlignment="1">
      <alignment horizontal="left" vertical="center" wrapText="1"/>
    </xf>
    <xf numFmtId="0" fontId="38" fillId="0" borderId="0" xfId="0" applyFont="1" applyAlignment="1">
      <alignment vertical="center"/>
    </xf>
    <xf numFmtId="0" fontId="38" fillId="0" borderId="0" xfId="0" applyFont="1"/>
    <xf numFmtId="0" fontId="369" fillId="0" borderId="69" xfId="0" applyFont="1" applyBorder="1" applyAlignment="1">
      <alignment horizontal="center" vertical="center" wrapText="1"/>
    </xf>
    <xf numFmtId="3" fontId="369" fillId="0" borderId="69" xfId="0" applyNumberFormat="1" applyFont="1" applyBorder="1" applyAlignment="1">
      <alignment horizontal="center" vertical="center" wrapText="1"/>
    </xf>
    <xf numFmtId="0" fontId="103" fillId="0" borderId="69" xfId="0" applyFont="1" applyBorder="1" applyAlignment="1">
      <alignment horizontal="center" vertical="center" wrapText="1"/>
    </xf>
    <xf numFmtId="0" fontId="51" fillId="0" borderId="0" xfId="0" applyFont="1" applyAlignment="1">
      <alignment horizontal="center" vertical="center"/>
    </xf>
    <xf numFmtId="0" fontId="100" fillId="0" borderId="69" xfId="0" applyFont="1" applyBorder="1" applyAlignment="1">
      <alignment horizontal="center" vertical="center" wrapText="1"/>
    </xf>
    <xf numFmtId="180" fontId="100" fillId="0" borderId="69" xfId="0" applyNumberFormat="1" applyFont="1" applyBorder="1" applyAlignment="1">
      <alignment horizontal="center" vertical="center" wrapText="1"/>
    </xf>
    <xf numFmtId="0" fontId="40" fillId="0" borderId="0" xfId="0" applyFont="1" applyAlignment="1">
      <alignment horizontal="center" vertical="center"/>
    </xf>
    <xf numFmtId="0" fontId="369" fillId="4" borderId="69" xfId="0" applyFont="1" applyFill="1" applyBorder="1" applyAlignment="1">
      <alignment horizontal="center" vertical="center" wrapText="1"/>
    </xf>
    <xf numFmtId="0" fontId="369" fillId="4" borderId="69" xfId="0" applyFont="1" applyFill="1" applyBorder="1" applyAlignment="1">
      <alignment vertical="center" wrapText="1"/>
    </xf>
    <xf numFmtId="180" fontId="369" fillId="4" borderId="69" xfId="0" applyNumberFormat="1" applyFont="1" applyFill="1" applyBorder="1" applyAlignment="1">
      <alignment vertical="center" wrapText="1"/>
    </xf>
    <xf numFmtId="180" fontId="369" fillId="4" borderId="69" xfId="0" applyNumberFormat="1" applyFont="1" applyFill="1" applyBorder="1" applyAlignment="1">
      <alignment horizontal="center" vertical="center" wrapText="1"/>
    </xf>
    <xf numFmtId="0" fontId="155" fillId="4" borderId="69" xfId="0" applyFont="1" applyFill="1" applyBorder="1" applyAlignment="1">
      <alignment horizontal="center" vertical="center" wrapText="1"/>
    </xf>
    <xf numFmtId="0" fontId="155" fillId="4" borderId="69" xfId="0" applyFont="1" applyFill="1" applyBorder="1" applyAlignment="1">
      <alignment vertical="center" wrapText="1"/>
    </xf>
    <xf numFmtId="180" fontId="155" fillId="4" borderId="69" xfId="0" applyNumberFormat="1" applyFont="1" applyFill="1" applyBorder="1" applyAlignment="1">
      <alignment vertical="center" wrapText="1"/>
    </xf>
    <xf numFmtId="180" fontId="155" fillId="4" borderId="69" xfId="0" applyNumberFormat="1" applyFont="1" applyFill="1" applyBorder="1" applyAlignment="1">
      <alignment horizontal="center" vertical="center" wrapText="1"/>
    </xf>
    <xf numFmtId="180" fontId="369" fillId="4" borderId="69" xfId="0" applyNumberFormat="1" applyFont="1" applyFill="1" applyBorder="1" applyAlignment="1">
      <alignment horizontal="right" vertical="center" wrapText="1"/>
    </xf>
    <xf numFmtId="9" fontId="369" fillId="4" borderId="69" xfId="2288" applyFont="1" applyFill="1" applyBorder="1" applyAlignment="1">
      <alignment horizontal="right" vertical="center" wrapText="1"/>
    </xf>
    <xf numFmtId="180" fontId="155" fillId="4" borderId="69" xfId="0" applyNumberFormat="1" applyFont="1" applyFill="1" applyBorder="1" applyAlignment="1">
      <alignment horizontal="right" vertical="center" wrapText="1"/>
    </xf>
    <xf numFmtId="9" fontId="155" fillId="4" borderId="69" xfId="2288" applyFont="1" applyFill="1" applyBorder="1" applyAlignment="1">
      <alignment horizontal="right" vertical="center" wrapText="1"/>
    </xf>
    <xf numFmtId="0" fontId="364" fillId="4" borderId="69" xfId="0" applyFont="1" applyFill="1" applyBorder="1" applyAlignment="1">
      <alignment horizontal="center" vertical="center" wrapText="1"/>
    </xf>
    <xf numFmtId="0" fontId="364" fillId="4" borderId="69" xfId="0" applyFont="1" applyFill="1" applyBorder="1" applyAlignment="1">
      <alignment vertical="center" wrapText="1"/>
    </xf>
    <xf numFmtId="180" fontId="364" fillId="4" borderId="69" xfId="0" applyNumberFormat="1" applyFont="1" applyFill="1" applyBorder="1" applyAlignment="1">
      <alignment vertical="center" wrapText="1"/>
    </xf>
    <xf numFmtId="180" fontId="364" fillId="4" borderId="69" xfId="0" applyNumberFormat="1" applyFont="1" applyFill="1" applyBorder="1" applyAlignment="1">
      <alignment horizontal="center" vertical="center" wrapText="1"/>
    </xf>
    <xf numFmtId="180" fontId="364" fillId="4" borderId="69" xfId="0" applyNumberFormat="1" applyFont="1" applyFill="1" applyBorder="1" applyAlignment="1">
      <alignment horizontal="right" vertical="center" wrapText="1"/>
    </xf>
    <xf numFmtId="9" fontId="370" fillId="4" borderId="69" xfId="2288" applyFont="1" applyFill="1" applyBorder="1" applyAlignment="1">
      <alignment horizontal="right" vertical="center" wrapText="1"/>
    </xf>
    <xf numFmtId="0" fontId="370" fillId="4" borderId="69" xfId="0" applyFont="1" applyFill="1" applyBorder="1" applyAlignment="1">
      <alignment horizontal="center" vertical="center" wrapText="1"/>
    </xf>
    <xf numFmtId="0" fontId="154" fillId="4" borderId="69" xfId="0" applyFont="1" applyFill="1" applyBorder="1" applyAlignment="1">
      <alignment horizontal="justify" vertical="center"/>
    </xf>
    <xf numFmtId="0" fontId="370" fillId="4" borderId="69" xfId="0" applyFont="1" applyFill="1" applyBorder="1" applyAlignment="1">
      <alignment vertical="center" wrapText="1"/>
    </xf>
    <xf numFmtId="180" fontId="370" fillId="4" borderId="69" xfId="0" applyNumberFormat="1" applyFont="1" applyFill="1" applyBorder="1" applyAlignment="1">
      <alignment vertical="center" wrapText="1"/>
    </xf>
    <xf numFmtId="180" fontId="370" fillId="4" borderId="69" xfId="0" applyNumberFormat="1" applyFont="1" applyFill="1" applyBorder="1" applyAlignment="1">
      <alignment horizontal="center" vertical="center" wrapText="1"/>
    </xf>
    <xf numFmtId="180" fontId="370" fillId="4" borderId="69" xfId="0" applyNumberFormat="1" applyFont="1" applyFill="1" applyBorder="1" applyAlignment="1">
      <alignment horizontal="right" vertical="center" wrapText="1"/>
    </xf>
    <xf numFmtId="0" fontId="155" fillId="4" borderId="69" xfId="0" quotePrefix="1" applyFont="1" applyFill="1" applyBorder="1" applyAlignment="1">
      <alignment horizontal="center" vertical="center" wrapText="1"/>
    </xf>
    <xf numFmtId="0" fontId="57" fillId="4" borderId="69" xfId="0" applyFont="1" applyFill="1" applyBorder="1" applyAlignment="1">
      <alignment horizontal="justify" vertical="center"/>
    </xf>
    <xf numFmtId="0" fontId="38" fillId="4" borderId="69" xfId="0" applyFont="1" applyFill="1" applyBorder="1" applyAlignment="1">
      <alignment horizontal="justify" vertical="center"/>
    </xf>
    <xf numFmtId="9" fontId="370" fillId="4" borderId="69" xfId="2288" applyFont="1" applyFill="1" applyBorder="1" applyAlignment="1">
      <alignment horizontal="center" vertical="center" wrapText="1"/>
    </xf>
    <xf numFmtId="0" fontId="154" fillId="4" borderId="69" xfId="0" applyFont="1" applyFill="1" applyBorder="1" applyAlignment="1">
      <alignment vertical="center" wrapText="1"/>
    </xf>
    <xf numFmtId="0" fontId="38" fillId="4" borderId="69" xfId="0" applyFont="1" applyFill="1" applyBorder="1" applyAlignment="1">
      <alignment vertical="center" wrapText="1"/>
    </xf>
    <xf numFmtId="0" fontId="38" fillId="4" borderId="70" xfId="0" applyFont="1" applyFill="1" applyBorder="1" applyAlignment="1">
      <alignment vertical="center" wrapText="1"/>
    </xf>
    <xf numFmtId="0" fontId="371" fillId="0" borderId="0" xfId="0" applyFont="1"/>
    <xf numFmtId="0" fontId="114" fillId="0" borderId="0" xfId="0" applyFont="1" applyAlignment="1">
      <alignment vertical="center"/>
    </xf>
    <xf numFmtId="0" fontId="114" fillId="0" borderId="0" xfId="0" applyFont="1"/>
    <xf numFmtId="0" fontId="364" fillId="0" borderId="0" xfId="0" applyFont="1"/>
    <xf numFmtId="180" fontId="100" fillId="0" borderId="69" xfId="0" applyNumberFormat="1" applyFont="1" applyBorder="1" applyAlignment="1">
      <alignment vertical="center" wrapText="1"/>
    </xf>
    <xf numFmtId="0" fontId="7" fillId="4" borderId="0" xfId="0" applyFont="1" applyFill="1" applyAlignment="1">
      <alignment vertical="center" wrapText="1"/>
    </xf>
    <xf numFmtId="0" fontId="125" fillId="0" borderId="0" xfId="0" applyFont="1" applyAlignment="1">
      <alignment horizontal="center" vertical="center" wrapText="1"/>
    </xf>
    <xf numFmtId="0" fontId="6" fillId="0" borderId="0" xfId="0" applyFont="1" applyAlignment="1">
      <alignment horizontal="center" vertical="center" wrapText="1"/>
    </xf>
    <xf numFmtId="0" fontId="6" fillId="4" borderId="0" xfId="0" applyFont="1" applyFill="1" applyAlignment="1">
      <alignment horizontal="center" vertical="center" wrapText="1"/>
    </xf>
    <xf numFmtId="0" fontId="6" fillId="0" borderId="0" xfId="0" applyFont="1" applyAlignment="1">
      <alignment horizontal="right" vertical="center" wrapText="1"/>
    </xf>
    <xf numFmtId="0" fontId="26" fillId="0" borderId="0" xfId="0" applyFont="1" applyAlignment="1">
      <alignment horizontal="center" vertical="center" wrapText="1"/>
    </xf>
    <xf numFmtId="0" fontId="6" fillId="0" borderId="69" xfId="0" applyFont="1" applyBorder="1" applyAlignment="1">
      <alignment horizontal="center" vertical="center" wrapText="1"/>
    </xf>
    <xf numFmtId="0" fontId="6" fillId="4" borderId="69" xfId="0" applyFont="1" applyFill="1" applyBorder="1" applyAlignment="1">
      <alignment horizontal="center" vertical="center" wrapText="1"/>
    </xf>
    <xf numFmtId="0" fontId="28" fillId="0" borderId="69" xfId="0" applyFont="1" applyBorder="1" applyAlignment="1">
      <alignment horizontal="center" vertical="center" wrapText="1"/>
    </xf>
    <xf numFmtId="0" fontId="122" fillId="4" borderId="69" xfId="0" applyFont="1" applyFill="1" applyBorder="1" applyAlignment="1">
      <alignment horizontal="center" vertical="center" wrapText="1"/>
    </xf>
    <xf numFmtId="0" fontId="122" fillId="4" borderId="69" xfId="0" quotePrefix="1" applyFont="1" applyFill="1" applyBorder="1" applyAlignment="1">
      <alignment horizontal="center" vertical="center" wrapText="1"/>
    </xf>
    <xf numFmtId="0" fontId="122" fillId="0" borderId="69" xfId="0" quotePrefix="1" applyFont="1" applyBorder="1" applyAlignment="1">
      <alignment horizontal="center" vertical="center" wrapText="1"/>
    </xf>
    <xf numFmtId="0" fontId="122" fillId="0" borderId="69" xfId="0" applyFont="1" applyBorder="1" applyAlignment="1">
      <alignment horizontal="center" vertical="center" wrapText="1"/>
    </xf>
    <xf numFmtId="0" fontId="122" fillId="0" borderId="0" xfId="0" applyFont="1" applyAlignment="1">
      <alignment horizontal="center" vertical="center" wrapText="1"/>
    </xf>
    <xf numFmtId="0" fontId="72" fillId="0" borderId="0" xfId="0" applyFont="1" applyAlignment="1">
      <alignment vertical="center" wrapText="1"/>
    </xf>
    <xf numFmtId="0" fontId="26" fillId="4" borderId="69" xfId="0" applyFont="1" applyFill="1" applyBorder="1" applyAlignment="1">
      <alignment horizontal="center" vertical="center" wrapText="1"/>
    </xf>
    <xf numFmtId="0" fontId="26" fillId="4" borderId="69" xfId="0" applyFont="1" applyFill="1" applyBorder="1" applyAlignment="1">
      <alignment vertical="center" wrapText="1"/>
    </xf>
    <xf numFmtId="180" fontId="26" fillId="4" borderId="69" xfId="0" applyNumberFormat="1" applyFont="1" applyFill="1" applyBorder="1" applyAlignment="1">
      <alignment horizontal="right" vertical="center" wrapText="1"/>
    </xf>
    <xf numFmtId="10" fontId="26" fillId="4" borderId="69" xfId="2288" applyNumberFormat="1" applyFont="1" applyFill="1" applyBorder="1" applyAlignment="1">
      <alignment horizontal="right" vertical="center" wrapText="1"/>
    </xf>
    <xf numFmtId="10" fontId="5" fillId="4" borderId="0" xfId="2288" applyNumberFormat="1" applyFont="1" applyFill="1" applyBorder="1" applyAlignment="1">
      <alignment horizontal="right" vertical="center" wrapText="1"/>
    </xf>
    <xf numFmtId="10" fontId="26" fillId="4" borderId="0" xfId="2288" applyNumberFormat="1" applyFont="1" applyFill="1" applyBorder="1" applyAlignment="1">
      <alignment horizontal="right" vertical="center" wrapText="1"/>
    </xf>
    <xf numFmtId="0" fontId="27" fillId="4" borderId="69" xfId="0" applyFont="1" applyFill="1" applyBorder="1" applyAlignment="1">
      <alignment horizontal="center" vertical="center" wrapText="1"/>
    </xf>
    <xf numFmtId="0" fontId="27" fillId="4" borderId="69" xfId="0" applyFont="1" applyFill="1" applyBorder="1" applyAlignment="1">
      <alignment vertical="center" wrapText="1"/>
    </xf>
    <xf numFmtId="180" fontId="27" fillId="4" borderId="69" xfId="0" applyNumberFormat="1" applyFont="1" applyFill="1" applyBorder="1" applyAlignment="1">
      <alignment horizontal="right" vertical="center" wrapText="1"/>
    </xf>
    <xf numFmtId="10" fontId="27" fillId="4" borderId="69" xfId="2288" applyNumberFormat="1" applyFont="1" applyFill="1" applyBorder="1" applyAlignment="1">
      <alignment horizontal="right" vertical="center" wrapText="1"/>
    </xf>
    <xf numFmtId="10" fontId="27" fillId="4" borderId="0" xfId="2288" applyNumberFormat="1" applyFont="1" applyFill="1" applyBorder="1" applyAlignment="1">
      <alignment horizontal="right" vertical="center" wrapText="1"/>
    </xf>
    <xf numFmtId="0" fontId="9" fillId="4" borderId="0" xfId="0" applyFont="1" applyFill="1" applyAlignment="1">
      <alignment vertical="center" wrapText="1"/>
    </xf>
    <xf numFmtId="10" fontId="5" fillId="4" borderId="69" xfId="2288" applyNumberFormat="1" applyFont="1" applyFill="1" applyBorder="1" applyAlignment="1">
      <alignment horizontal="right" vertical="center" wrapText="1"/>
    </xf>
    <xf numFmtId="0" fontId="5" fillId="4" borderId="69" xfId="0" applyFont="1" applyFill="1" applyBorder="1" applyAlignment="1">
      <alignment horizontal="center" vertical="center" wrapText="1"/>
    </xf>
    <xf numFmtId="0" fontId="5" fillId="4" borderId="69" xfId="0" applyFont="1" applyFill="1" applyBorder="1" applyAlignment="1">
      <alignment vertical="center" wrapText="1"/>
    </xf>
    <xf numFmtId="180" fontId="5" fillId="4" borderId="69" xfId="0" applyNumberFormat="1" applyFont="1" applyFill="1" applyBorder="1" applyAlignment="1">
      <alignment horizontal="right" vertical="center" wrapText="1"/>
    </xf>
    <xf numFmtId="0" fontId="7" fillId="4" borderId="69" xfId="0" applyFont="1" applyFill="1" applyBorder="1" applyAlignment="1">
      <alignment horizontal="center" vertical="center" wrapText="1"/>
    </xf>
    <xf numFmtId="0" fontId="7" fillId="4" borderId="69" xfId="0" applyFont="1" applyFill="1" applyBorder="1" applyAlignment="1">
      <alignment vertical="center" wrapText="1"/>
    </xf>
    <xf numFmtId="180" fontId="7" fillId="4" borderId="69" xfId="0" applyNumberFormat="1" applyFont="1" applyFill="1" applyBorder="1" applyAlignment="1">
      <alignment horizontal="right" vertical="center" wrapText="1"/>
    </xf>
    <xf numFmtId="10" fontId="7" fillId="4" borderId="69" xfId="2288" applyNumberFormat="1" applyFont="1" applyFill="1" applyBorder="1" applyAlignment="1">
      <alignment horizontal="right" vertical="center" wrapText="1"/>
    </xf>
    <xf numFmtId="10" fontId="7" fillId="4" borderId="0" xfId="2288" applyNumberFormat="1" applyFont="1" applyFill="1" applyBorder="1" applyAlignment="1">
      <alignment horizontal="right" vertical="center" wrapText="1"/>
    </xf>
    <xf numFmtId="180" fontId="7" fillId="4" borderId="0" xfId="0" applyNumberFormat="1" applyFont="1" applyFill="1" applyAlignment="1">
      <alignment vertical="center" wrapText="1"/>
    </xf>
    <xf numFmtId="167" fontId="9" fillId="4" borderId="69" xfId="811" applyNumberFormat="1" applyFont="1" applyFill="1" applyBorder="1" applyAlignment="1">
      <alignment vertical="center" wrapText="1"/>
    </xf>
    <xf numFmtId="167" fontId="7" fillId="4" borderId="69" xfId="811" applyNumberFormat="1" applyFont="1" applyFill="1" applyBorder="1" applyAlignment="1">
      <alignment vertical="center" wrapText="1"/>
    </xf>
    <xf numFmtId="0" fontId="9" fillId="4" borderId="69" xfId="0" applyFont="1" applyFill="1" applyBorder="1" applyAlignment="1">
      <alignment horizontal="center" vertical="center" wrapText="1"/>
    </xf>
    <xf numFmtId="0" fontId="9" fillId="4" borderId="69" xfId="0" applyFont="1" applyFill="1" applyBorder="1" applyAlignment="1">
      <alignment vertical="center" wrapText="1"/>
    </xf>
    <xf numFmtId="180" fontId="9" fillId="4" borderId="69" xfId="0" applyNumberFormat="1" applyFont="1" applyFill="1" applyBorder="1" applyAlignment="1">
      <alignment horizontal="right" vertical="center" wrapText="1"/>
    </xf>
    <xf numFmtId="10" fontId="9" fillId="4" borderId="69" xfId="2288" applyNumberFormat="1" applyFont="1" applyFill="1" applyBorder="1" applyAlignment="1">
      <alignment horizontal="right" vertical="center" wrapText="1"/>
    </xf>
    <xf numFmtId="10" fontId="9" fillId="4" borderId="0" xfId="2288" applyNumberFormat="1" applyFont="1" applyFill="1" applyBorder="1" applyAlignment="1">
      <alignment horizontal="right" vertical="center" wrapText="1"/>
    </xf>
    <xf numFmtId="216" fontId="7" fillId="4" borderId="69" xfId="0" applyNumberFormat="1" applyFont="1" applyFill="1" applyBorder="1" applyAlignment="1">
      <alignment vertical="center" wrapText="1"/>
    </xf>
    <xf numFmtId="0" fontId="7" fillId="4" borderId="69" xfId="0" quotePrefix="1" applyFont="1" applyFill="1" applyBorder="1" applyAlignment="1">
      <alignment horizontal="center" vertical="center" wrapText="1"/>
    </xf>
    <xf numFmtId="0" fontId="5" fillId="4" borderId="69" xfId="0" quotePrefix="1" applyFont="1" applyFill="1" applyBorder="1" applyAlignment="1">
      <alignment horizontal="center" vertical="center" wrapText="1"/>
    </xf>
    <xf numFmtId="9" fontId="5" fillId="4" borderId="0" xfId="2288" applyFont="1" applyFill="1" applyBorder="1" applyAlignment="1">
      <alignment horizontal="right" vertical="center" wrapText="1"/>
    </xf>
    <xf numFmtId="180" fontId="5" fillId="4" borderId="0" xfId="0" applyNumberFormat="1" applyFont="1" applyFill="1" applyAlignment="1">
      <alignment horizontal="right" vertical="center" wrapText="1"/>
    </xf>
    <xf numFmtId="180" fontId="26" fillId="4" borderId="0" xfId="0" applyNumberFormat="1" applyFont="1" applyFill="1" applyAlignment="1">
      <alignment horizontal="right" vertical="center" wrapText="1"/>
    </xf>
    <xf numFmtId="180" fontId="7" fillId="4" borderId="69" xfId="0" applyNumberFormat="1" applyFont="1" applyFill="1" applyBorder="1" applyAlignment="1">
      <alignment vertical="center" wrapText="1"/>
    </xf>
    <xf numFmtId="180" fontId="3" fillId="4" borderId="69" xfId="0" applyNumberFormat="1" applyFont="1" applyFill="1" applyBorder="1" applyAlignment="1">
      <alignment vertical="center" wrapText="1"/>
    </xf>
    <xf numFmtId="0" fontId="6" fillId="4" borderId="69" xfId="0" applyFont="1" applyFill="1" applyBorder="1" applyAlignment="1">
      <alignment vertical="center" wrapText="1"/>
    </xf>
    <xf numFmtId="0" fontId="5" fillId="0" borderId="0" xfId="0" applyFont="1" applyAlignment="1">
      <alignment horizontal="left" vertical="center" wrapText="1"/>
    </xf>
    <xf numFmtId="0" fontId="5" fillId="4" borderId="0" xfId="0" applyFont="1" applyFill="1" applyAlignment="1">
      <alignment vertical="center" wrapText="1"/>
    </xf>
    <xf numFmtId="0" fontId="27" fillId="4" borderId="0" xfId="0" applyFont="1" applyFill="1" applyAlignment="1">
      <alignment vertical="center" wrapText="1"/>
    </xf>
    <xf numFmtId="0" fontId="6" fillId="4" borderId="0" xfId="0" applyFont="1" applyFill="1" applyAlignment="1">
      <alignment vertical="center" wrapText="1"/>
    </xf>
    <xf numFmtId="0" fontId="369" fillId="0" borderId="0" xfId="0" applyFont="1" applyAlignment="1">
      <alignment vertical="center" wrapText="1"/>
    </xf>
    <xf numFmtId="181" fontId="54" fillId="4" borderId="0" xfId="0" applyNumberFormat="1" applyFont="1" applyFill="1"/>
    <xf numFmtId="0" fontId="372" fillId="4" borderId="5" xfId="0" applyFont="1" applyFill="1" applyBorder="1" applyAlignment="1">
      <alignment horizontal="center" vertical="center"/>
    </xf>
    <xf numFmtId="0" fontId="372" fillId="4" borderId="5" xfId="0" applyFont="1" applyFill="1" applyBorder="1" applyAlignment="1">
      <alignment horizontal="justify" vertical="center" wrapText="1"/>
    </xf>
    <xf numFmtId="177" fontId="372" fillId="4" borderId="5" xfId="2" applyNumberFormat="1" applyFont="1" applyFill="1" applyBorder="1" applyAlignment="1">
      <alignment horizontal="right" vertical="center" wrapText="1"/>
    </xf>
    <xf numFmtId="177" fontId="372" fillId="4" borderId="5" xfId="2" applyNumberFormat="1" applyFont="1" applyFill="1" applyBorder="1" applyAlignment="1">
      <alignment vertical="center" wrapText="1"/>
    </xf>
    <xf numFmtId="177" fontId="372" fillId="4" borderId="5" xfId="2" applyNumberFormat="1" applyFont="1" applyFill="1" applyBorder="1" applyAlignment="1">
      <alignment vertical="center"/>
    </xf>
    <xf numFmtId="177" fontId="372" fillId="4" borderId="5" xfId="0" applyNumberFormat="1" applyFont="1" applyFill="1" applyBorder="1" applyAlignment="1">
      <alignment vertical="center"/>
    </xf>
    <xf numFmtId="0" fontId="372" fillId="4" borderId="0" xfId="0" applyFont="1" applyFill="1" applyAlignment="1">
      <alignment horizontal="justify"/>
    </xf>
    <xf numFmtId="177" fontId="372" fillId="4" borderId="5" xfId="2" applyNumberFormat="1" applyFont="1" applyFill="1" applyBorder="1" applyAlignment="1">
      <alignment horizontal="right" vertical="center"/>
    </xf>
    <xf numFmtId="177" fontId="155" fillId="4" borderId="0" xfId="0" applyNumberFormat="1" applyFont="1" applyFill="1" applyAlignment="1">
      <alignment horizontal="justify"/>
    </xf>
    <xf numFmtId="177" fontId="372" fillId="4" borderId="0" xfId="0" applyNumberFormat="1" applyFont="1" applyFill="1" applyAlignment="1">
      <alignment horizontal="justify"/>
    </xf>
    <xf numFmtId="177" fontId="372" fillId="4" borderId="0" xfId="0" applyNumberFormat="1" applyFont="1" applyFill="1" applyAlignment="1">
      <alignment horizontal="justify" vertical="center"/>
    </xf>
    <xf numFmtId="0" fontId="43" fillId="4" borderId="21" xfId="0" applyFont="1" applyFill="1" applyBorder="1" applyAlignment="1">
      <alignment vertical="center" wrapText="1"/>
    </xf>
    <xf numFmtId="0" fontId="46" fillId="4" borderId="21" xfId="0" applyFont="1" applyFill="1" applyBorder="1" applyAlignment="1">
      <alignment vertical="center" wrapText="1"/>
    </xf>
    <xf numFmtId="167" fontId="4" fillId="0" borderId="0" xfId="2" applyNumberFormat="1" applyFont="1" applyFill="1" applyAlignment="1">
      <alignment horizontal="center" vertical="center" wrapText="1"/>
    </xf>
    <xf numFmtId="167" fontId="10" fillId="0" borderId="0" xfId="2" applyNumberFormat="1" applyFont="1" applyFill="1" applyAlignment="1">
      <alignment horizontal="center" vertical="center" wrapText="1"/>
    </xf>
    <xf numFmtId="0" fontId="3" fillId="0" borderId="0" xfId="0" applyFont="1" applyAlignment="1">
      <alignment horizontal="center" vertical="center" wrapText="1"/>
    </xf>
    <xf numFmtId="0" fontId="22" fillId="0" borderId="21" xfId="0" applyFont="1" applyBorder="1" applyAlignment="1">
      <alignment horizontal="center" vertical="center" wrapText="1"/>
    </xf>
    <xf numFmtId="0" fontId="368" fillId="4" borderId="0" xfId="0" applyFont="1" applyFill="1" applyAlignment="1">
      <alignment horizontal="center" vertical="center" wrapText="1"/>
    </xf>
    <xf numFmtId="3" fontId="3" fillId="0" borderId="0" xfId="0" applyNumberFormat="1" applyFont="1" applyAlignment="1">
      <alignment horizontal="left" vertical="center" wrapText="1"/>
    </xf>
    <xf numFmtId="43" fontId="3" fillId="0" borderId="0" xfId="2"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center"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10" fillId="0" borderId="0" xfId="0" applyFont="1" applyAlignment="1">
      <alignment horizontal="center" vertical="center"/>
    </xf>
    <xf numFmtId="0" fontId="25" fillId="0" borderId="3"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9" xfId="0" applyFont="1" applyBorder="1" applyAlignment="1">
      <alignment horizontal="center" vertical="center" wrapText="1"/>
    </xf>
    <xf numFmtId="0" fontId="10" fillId="0" borderId="0" xfId="0" applyFont="1" applyAlignment="1">
      <alignment horizontal="center" vertical="center" wrapText="1"/>
    </xf>
    <xf numFmtId="0" fontId="7" fillId="0" borderId="0" xfId="0" applyFont="1" applyAlignment="1">
      <alignment horizontal="center" vertical="center"/>
    </xf>
    <xf numFmtId="0" fontId="25" fillId="0" borderId="0" xfId="0" applyFont="1" applyAlignment="1">
      <alignment horizontal="center" vertical="center"/>
    </xf>
    <xf numFmtId="0" fontId="25" fillId="0" borderId="8" xfId="0" applyFont="1" applyBorder="1" applyAlignment="1">
      <alignment horizontal="justify" vertical="center" wrapText="1"/>
    </xf>
    <xf numFmtId="0" fontId="25" fillId="0" borderId="9" xfId="0" applyFont="1" applyBorder="1" applyAlignment="1">
      <alignment horizontal="justify" vertical="center" wrapText="1"/>
    </xf>
    <xf numFmtId="0" fontId="25" fillId="0" borderId="11" xfId="0" applyFont="1" applyBorder="1" applyAlignment="1">
      <alignment horizontal="justify" vertical="center" wrapText="1"/>
    </xf>
    <xf numFmtId="0" fontId="25" fillId="0" borderId="3" xfId="0" applyFont="1" applyBorder="1" applyAlignment="1">
      <alignment horizontal="justify" vertical="center" wrapText="1"/>
    </xf>
    <xf numFmtId="0" fontId="130" fillId="0" borderId="0" xfId="0" applyFont="1" applyAlignment="1">
      <alignment horizontal="center" vertical="center" wrapText="1"/>
    </xf>
    <xf numFmtId="0" fontId="366" fillId="0" borderId="0" xfId="0" applyFont="1" applyAlignment="1">
      <alignment horizontal="center" vertical="center" wrapText="1"/>
    </xf>
    <xf numFmtId="43" fontId="153" fillId="4" borderId="0" xfId="2" applyFont="1" applyFill="1" applyBorder="1" applyAlignment="1">
      <alignment horizontal="right"/>
    </xf>
    <xf numFmtId="0" fontId="153" fillId="4" borderId="0" xfId="0" applyFont="1" applyFill="1" applyAlignment="1">
      <alignment horizontal="center" vertical="center" wrapText="1"/>
    </xf>
    <xf numFmtId="0" fontId="47" fillId="4" borderId="3" xfId="0" applyFont="1" applyFill="1" applyBorder="1" applyAlignment="1">
      <alignment horizontal="center" vertical="center" wrapText="1"/>
    </xf>
    <xf numFmtId="174" fontId="47" fillId="4" borderId="3" xfId="2" applyNumberFormat="1" applyFont="1" applyFill="1" applyBorder="1" applyAlignment="1">
      <alignment horizontal="center" vertical="center" wrapText="1"/>
    </xf>
    <xf numFmtId="0" fontId="367" fillId="4" borderId="0" xfId="0" applyFont="1" applyFill="1" applyAlignment="1">
      <alignment horizontal="center" vertical="center" wrapText="1"/>
    </xf>
    <xf numFmtId="174" fontId="49" fillId="4" borderId="0" xfId="2" applyNumberFormat="1" applyFont="1" applyFill="1" applyAlignment="1">
      <alignment horizontal="center"/>
    </xf>
    <xf numFmtId="43" fontId="47" fillId="4" borderId="0" xfId="2" applyFont="1" applyFill="1" applyBorder="1" applyAlignment="1">
      <alignment horizontal="right" vertical="center"/>
    </xf>
    <xf numFmtId="0" fontId="48" fillId="4" borderId="0" xfId="0" applyFont="1" applyFill="1" applyAlignment="1">
      <alignment horizontal="center" vertical="center" wrapText="1"/>
    </xf>
    <xf numFmtId="0" fontId="49" fillId="4" borderId="0" xfId="0" applyFont="1" applyFill="1" applyAlignment="1">
      <alignment horizontal="center" vertical="center" wrapText="1"/>
    </xf>
    <xf numFmtId="0" fontId="47" fillId="4" borderId="0" xfId="0" applyFont="1" applyFill="1" applyAlignment="1">
      <alignment horizontal="center" vertical="center" wrapText="1"/>
    </xf>
    <xf numFmtId="43" fontId="65" fillId="4" borderId="0" xfId="2" applyFont="1" applyFill="1" applyBorder="1" applyAlignment="1">
      <alignment horizontal="center"/>
    </xf>
    <xf numFmtId="0" fontId="65" fillId="4" borderId="0" xfId="0" applyFont="1" applyFill="1" applyAlignment="1">
      <alignment horizontal="center" vertical="center" wrapText="1"/>
    </xf>
    <xf numFmtId="0" fontId="22" fillId="4" borderId="3" xfId="0" applyFont="1" applyFill="1" applyBorder="1" applyAlignment="1">
      <alignment horizontal="center" vertical="center" wrapText="1"/>
    </xf>
    <xf numFmtId="43" fontId="22" fillId="4" borderId="3" xfId="2" applyFont="1" applyFill="1" applyBorder="1" applyAlignment="1">
      <alignment horizontal="center" vertical="center" wrapText="1"/>
    </xf>
    <xf numFmtId="0" fontId="4" fillId="4" borderId="13" xfId="0" applyFont="1" applyFill="1" applyBorder="1" applyAlignment="1">
      <alignment horizontal="center" vertical="center"/>
    </xf>
    <xf numFmtId="0" fontId="4" fillId="4" borderId="15"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0" xfId="0" applyFont="1" applyFill="1" applyAlignment="1">
      <alignment horizontal="center" vertical="center" wrapText="1"/>
    </xf>
    <xf numFmtId="0" fontId="10" fillId="4" borderId="0" xfId="0" applyFont="1" applyFill="1" applyAlignment="1">
      <alignment horizontal="center"/>
    </xf>
    <xf numFmtId="43" fontId="3" fillId="4" borderId="0" xfId="2" applyFont="1" applyFill="1" applyBorder="1" applyAlignment="1">
      <alignment horizontal="center"/>
    </xf>
    <xf numFmtId="0" fontId="3" fillId="4" borderId="0" xfId="0" applyFont="1" applyFill="1" applyAlignment="1">
      <alignment horizontal="left"/>
    </xf>
    <xf numFmtId="43" fontId="3" fillId="4" borderId="0" xfId="2" applyFont="1" applyFill="1" applyBorder="1" applyAlignment="1">
      <alignment horizontal="right"/>
    </xf>
    <xf numFmtId="0" fontId="10" fillId="4" borderId="0" xfId="0" applyFont="1" applyFill="1" applyAlignment="1">
      <alignment horizontal="center" vertical="center" wrapText="1"/>
    </xf>
    <xf numFmtId="0" fontId="54" fillId="4" borderId="3" xfId="0" applyFont="1" applyFill="1" applyBorder="1" applyAlignment="1">
      <alignment horizontal="center" vertical="center" wrapText="1"/>
    </xf>
    <xf numFmtId="169" fontId="54" fillId="4" borderId="3" xfId="2" applyNumberFormat="1" applyFont="1" applyFill="1" applyBorder="1" applyAlignment="1">
      <alignment horizontal="center" vertical="center" wrapText="1"/>
    </xf>
    <xf numFmtId="174" fontId="54" fillId="4" borderId="3" xfId="2" applyNumberFormat="1" applyFont="1" applyFill="1" applyBorder="1" applyAlignment="1">
      <alignment horizontal="center" vertical="center" wrapText="1"/>
    </xf>
    <xf numFmtId="0" fontId="55" fillId="4" borderId="3" xfId="0" applyFont="1" applyFill="1" applyBorder="1" applyAlignment="1">
      <alignment horizontal="center" vertical="center" wrapText="1"/>
    </xf>
    <xf numFmtId="174" fontId="38" fillId="4" borderId="13" xfId="2" applyNumberFormat="1" applyFont="1" applyFill="1" applyBorder="1" applyAlignment="1">
      <alignment horizontal="center"/>
    </xf>
    <xf numFmtId="43" fontId="55" fillId="4" borderId="3" xfId="2" applyFont="1" applyFill="1" applyBorder="1" applyAlignment="1">
      <alignment horizontal="center" vertical="center" wrapText="1"/>
    </xf>
    <xf numFmtId="0" fontId="55" fillId="4" borderId="14" xfId="0" applyFont="1" applyFill="1" applyBorder="1" applyAlignment="1">
      <alignment horizontal="center" vertical="center" wrapText="1"/>
    </xf>
    <xf numFmtId="0" fontId="55" fillId="4" borderId="2" xfId="0" applyFont="1" applyFill="1" applyBorder="1" applyAlignment="1">
      <alignment horizontal="center" vertical="center" wrapText="1"/>
    </xf>
    <xf numFmtId="174" fontId="51" fillId="4" borderId="0" xfId="2" applyNumberFormat="1" applyFont="1" applyFill="1" applyAlignment="1">
      <alignment horizontal="center"/>
    </xf>
    <xf numFmtId="174" fontId="4" fillId="4" borderId="0" xfId="2" applyNumberFormat="1" applyFont="1" applyFill="1" applyAlignment="1">
      <alignment horizontal="right" vertical="center"/>
    </xf>
    <xf numFmtId="174" fontId="53" fillId="4" borderId="3" xfId="2" applyNumberFormat="1" applyFont="1" applyFill="1" applyBorder="1" applyAlignment="1">
      <alignment horizontal="center" vertical="center" wrapText="1"/>
    </xf>
    <xf numFmtId="174" fontId="53" fillId="4" borderId="16" xfId="2" applyNumberFormat="1" applyFont="1" applyFill="1" applyBorder="1" applyAlignment="1">
      <alignment horizontal="center" vertical="center" wrapText="1"/>
    </xf>
    <xf numFmtId="174" fontId="53" fillId="4" borderId="15" xfId="2" applyNumberFormat="1" applyFont="1" applyFill="1" applyBorder="1" applyAlignment="1">
      <alignment horizontal="center" vertical="center" wrapText="1"/>
    </xf>
    <xf numFmtId="174" fontId="53" fillId="4" borderId="17" xfId="2" applyNumberFormat="1" applyFont="1" applyFill="1" applyBorder="1" applyAlignment="1">
      <alignment horizontal="center" vertical="center" wrapText="1"/>
    </xf>
    <xf numFmtId="172" fontId="50" fillId="4" borderId="0" xfId="2" applyNumberFormat="1" applyFont="1" applyFill="1" applyAlignment="1">
      <alignment horizontal="center"/>
    </xf>
    <xf numFmtId="174" fontId="22" fillId="4" borderId="3" xfId="2" applyNumberFormat="1" applyFont="1" applyFill="1" applyBorder="1" applyAlignment="1">
      <alignment horizontal="center" vertical="center" wrapText="1"/>
    </xf>
    <xf numFmtId="166" fontId="53" fillId="4" borderId="3" xfId="2" applyNumberFormat="1" applyFont="1" applyFill="1" applyBorder="1" applyAlignment="1">
      <alignment horizontal="center" vertical="center" wrapText="1"/>
    </xf>
    <xf numFmtId="0" fontId="54" fillId="4" borderId="67" xfId="0" applyFont="1" applyFill="1" applyBorder="1" applyAlignment="1">
      <alignment horizontal="center" vertical="center" wrapText="1"/>
    </xf>
    <xf numFmtId="173" fontId="54" fillId="4" borderId="67" xfId="2" applyNumberFormat="1" applyFont="1" applyFill="1" applyBorder="1" applyAlignment="1">
      <alignment horizontal="center" vertical="center" wrapText="1"/>
    </xf>
    <xf numFmtId="0" fontId="3" fillId="4" borderId="0" xfId="0" applyFont="1" applyFill="1" applyAlignment="1">
      <alignment horizontal="center" vertical="center"/>
    </xf>
    <xf numFmtId="0" fontId="47" fillId="4" borderId="0" xfId="0" applyFont="1" applyFill="1" applyAlignment="1">
      <alignment horizontal="center" vertical="center"/>
    </xf>
    <xf numFmtId="0" fontId="46" fillId="4" borderId="3" xfId="0" applyFont="1" applyFill="1" applyBorder="1" applyAlignment="1">
      <alignment horizontal="center" vertical="center" wrapText="1"/>
    </xf>
    <xf numFmtId="0" fontId="116" fillId="4" borderId="3" xfId="0" applyFont="1" applyFill="1" applyBorder="1" applyAlignment="1">
      <alignment horizontal="center" vertical="center" wrapText="1"/>
    </xf>
    <xf numFmtId="174" fontId="46" fillId="4" borderId="3" xfId="2" applyNumberFormat="1" applyFont="1" applyFill="1" applyBorder="1" applyAlignment="1">
      <alignment horizontal="center" vertical="center" wrapText="1"/>
    </xf>
    <xf numFmtId="167" fontId="46" fillId="4" borderId="3" xfId="2" applyNumberFormat="1" applyFont="1" applyFill="1" applyBorder="1" applyAlignment="1">
      <alignment horizontal="center" vertical="center" wrapText="1"/>
    </xf>
    <xf numFmtId="43" fontId="46" fillId="4" borderId="3" xfId="2" applyFont="1" applyFill="1" applyBorder="1" applyAlignment="1">
      <alignment horizontal="center" vertical="center" wrapText="1"/>
    </xf>
    <xf numFmtId="166" fontId="123" fillId="4" borderId="13" xfId="2" applyNumberFormat="1" applyFont="1" applyFill="1" applyBorder="1" applyAlignment="1">
      <alignment horizontal="center" vertical="center"/>
    </xf>
    <xf numFmtId="166" fontId="46" fillId="4" borderId="3" xfId="2" applyNumberFormat="1" applyFont="1" applyFill="1" applyBorder="1" applyAlignment="1">
      <alignment horizontal="center" vertical="center" wrapText="1"/>
    </xf>
    <xf numFmtId="0" fontId="47" fillId="4" borderId="68" xfId="0" applyFont="1" applyFill="1" applyBorder="1" applyAlignment="1">
      <alignment horizontal="center" vertical="center" wrapText="1"/>
    </xf>
    <xf numFmtId="0" fontId="48" fillId="4" borderId="13" xfId="0" applyFont="1" applyFill="1" applyBorder="1" applyAlignment="1">
      <alignment horizontal="center" vertical="center" wrapText="1"/>
    </xf>
    <xf numFmtId="43" fontId="47" fillId="4" borderId="0" xfId="2" applyFont="1" applyFill="1" applyBorder="1" applyAlignment="1">
      <alignment horizontal="center" vertical="center" wrapText="1"/>
    </xf>
    <xf numFmtId="0" fontId="47" fillId="0" borderId="3" xfId="0" applyFont="1" applyBorder="1" applyAlignment="1">
      <alignment horizontal="center" vertical="center" wrapText="1"/>
    </xf>
    <xf numFmtId="174" fontId="116" fillId="0" borderId="68" xfId="2" applyNumberFormat="1" applyFont="1" applyFill="1" applyBorder="1" applyAlignment="1">
      <alignment horizontal="center" vertical="center" wrapText="1"/>
    </xf>
    <xf numFmtId="0" fontId="116" fillId="0" borderId="68" xfId="0" applyFont="1" applyBorder="1" applyAlignment="1">
      <alignment horizontal="center" vertical="center" wrapText="1"/>
    </xf>
    <xf numFmtId="167" fontId="116" fillId="0" borderId="3" xfId="2" applyNumberFormat="1" applyFont="1" applyFill="1" applyBorder="1" applyAlignment="1">
      <alignment horizontal="center" vertical="center" wrapText="1"/>
    </xf>
    <xf numFmtId="43" fontId="116" fillId="0" borderId="3" xfId="2" applyFont="1" applyFill="1" applyBorder="1" applyAlignment="1">
      <alignment horizontal="center" vertical="center" wrapText="1"/>
    </xf>
    <xf numFmtId="181" fontId="45" fillId="4" borderId="0" xfId="0" applyNumberFormat="1" applyFont="1" applyFill="1" applyAlignment="1">
      <alignment horizontal="center"/>
    </xf>
    <xf numFmtId="167" fontId="87" fillId="4" borderId="0" xfId="2" applyNumberFormat="1" applyFont="1" applyFill="1" applyBorder="1" applyAlignment="1">
      <alignment horizontal="left"/>
    </xf>
    <xf numFmtId="183" fontId="45" fillId="4" borderId="0" xfId="0" applyNumberFormat="1" applyFont="1" applyFill="1" applyAlignment="1">
      <alignment horizontal="center"/>
    </xf>
    <xf numFmtId="174" fontId="45" fillId="4" borderId="0" xfId="2" applyNumberFormat="1" applyFont="1" applyFill="1" applyBorder="1" applyAlignment="1">
      <alignment horizontal="center"/>
    </xf>
    <xf numFmtId="167" fontId="72" fillId="4" borderId="0" xfId="2" applyNumberFormat="1" applyFont="1" applyFill="1" applyBorder="1" applyAlignment="1">
      <alignment horizontal="right" vertical="center"/>
    </xf>
    <xf numFmtId="167" fontId="72" fillId="4" borderId="13" xfId="2" applyNumberFormat="1" applyFont="1" applyFill="1" applyBorder="1" applyAlignment="1">
      <alignment horizontal="right" vertical="center"/>
    </xf>
    <xf numFmtId="3" fontId="116" fillId="0" borderId="3" xfId="0" applyNumberFormat="1" applyFont="1" applyBorder="1" applyAlignment="1">
      <alignment horizontal="center" vertical="center" wrapText="1"/>
    </xf>
    <xf numFmtId="0" fontId="116" fillId="0" borderId="3" xfId="0" applyFont="1" applyBorder="1" applyAlignment="1">
      <alignment horizontal="center" vertical="center" wrapText="1"/>
    </xf>
    <xf numFmtId="2" fontId="116" fillId="0" borderId="68" xfId="0" applyNumberFormat="1" applyFont="1" applyBorder="1" applyAlignment="1">
      <alignment horizontal="center" vertical="center" wrapText="1"/>
    </xf>
    <xf numFmtId="167" fontId="116" fillId="0" borderId="68" xfId="2" applyNumberFormat="1" applyFont="1" applyFill="1" applyBorder="1" applyAlignment="1">
      <alignment horizontal="center" vertical="center" wrapText="1"/>
    </xf>
    <xf numFmtId="0" fontId="352" fillId="0" borderId="21" xfId="48" applyFont="1" applyBorder="1" applyAlignment="1">
      <alignment horizontal="center" vertical="center" wrapText="1"/>
    </xf>
    <xf numFmtId="0" fontId="147" fillId="0" borderId="0" xfId="48" applyFont="1" applyAlignment="1">
      <alignment horizontal="center" vertical="center"/>
    </xf>
    <xf numFmtId="0" fontId="122" fillId="0" borderId="13" xfId="48" applyFont="1" applyBorder="1" applyAlignment="1">
      <alignment horizontal="right" vertical="center"/>
    </xf>
    <xf numFmtId="167" fontId="3" fillId="4" borderId="0" xfId="2"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167" fontId="3" fillId="4" borderId="3" xfId="2" applyNumberFormat="1" applyFont="1" applyFill="1" applyBorder="1" applyAlignment="1">
      <alignment horizontal="center" vertical="center" wrapText="1"/>
    </xf>
    <xf numFmtId="167" fontId="4" fillId="4" borderId="13" xfId="2" applyNumberFormat="1" applyFont="1" applyFill="1" applyBorder="1" applyAlignment="1">
      <alignment horizontal="center" vertical="center" wrapText="1"/>
    </xf>
    <xf numFmtId="3" fontId="65" fillId="4" borderId="0" xfId="0" applyNumberFormat="1" applyFont="1" applyFill="1" applyAlignment="1">
      <alignment horizontal="left" vertical="center" wrapText="1"/>
    </xf>
    <xf numFmtId="0" fontId="65" fillId="4" borderId="0" xfId="0" applyFont="1" applyFill="1" applyAlignment="1">
      <alignment horizontal="left" vertical="center" wrapText="1"/>
    </xf>
    <xf numFmtId="174" fontId="109" fillId="4" borderId="14" xfId="2" applyNumberFormat="1" applyFont="1" applyFill="1" applyBorder="1" applyAlignment="1">
      <alignment horizontal="center" vertical="center" wrapText="1"/>
    </xf>
    <xf numFmtId="174" fontId="109" fillId="4" borderId="12" xfId="2" applyNumberFormat="1" applyFont="1" applyFill="1" applyBorder="1" applyAlignment="1">
      <alignment horizontal="center" vertical="center" wrapText="1"/>
    </xf>
    <xf numFmtId="167" fontId="109" fillId="4" borderId="8" xfId="2" applyNumberFormat="1" applyFont="1" applyFill="1" applyBorder="1" applyAlignment="1">
      <alignment horizontal="center" vertical="center" wrapText="1"/>
    </xf>
    <xf numFmtId="167" fontId="109" fillId="4" borderId="11" xfId="2" applyNumberFormat="1" applyFont="1" applyFill="1" applyBorder="1" applyAlignment="1">
      <alignment horizontal="center" vertical="center" wrapText="1"/>
    </xf>
    <xf numFmtId="174" fontId="109" fillId="4" borderId="8" xfId="2" applyNumberFormat="1" applyFont="1" applyFill="1" applyBorder="1" applyAlignment="1">
      <alignment horizontal="center" vertical="center" wrapText="1"/>
    </xf>
    <xf numFmtId="174" fontId="109" fillId="4" borderId="11" xfId="2" applyNumberFormat="1" applyFont="1" applyFill="1" applyBorder="1" applyAlignment="1">
      <alignment horizontal="center" vertical="center" wrapText="1"/>
    </xf>
    <xf numFmtId="174" fontId="109" fillId="4" borderId="2" xfId="2" applyNumberFormat="1" applyFont="1" applyFill="1" applyBorder="1" applyAlignment="1">
      <alignment horizontal="center" vertical="center" wrapText="1"/>
    </xf>
    <xf numFmtId="174" fontId="109" fillId="4" borderId="3" xfId="2" applyNumberFormat="1" applyFont="1" applyFill="1" applyBorder="1" applyAlignment="1">
      <alignment horizontal="center" vertical="center" wrapText="1"/>
    </xf>
    <xf numFmtId="0" fontId="109" fillId="4" borderId="3" xfId="0" applyFont="1" applyFill="1" applyBorder="1" applyAlignment="1">
      <alignment horizontal="center" vertical="center" wrapText="1"/>
    </xf>
    <xf numFmtId="174" fontId="43" fillId="4" borderId="0" xfId="2" applyNumberFormat="1" applyFont="1" applyFill="1" applyAlignment="1">
      <alignment horizontal="center"/>
    </xf>
    <xf numFmtId="43" fontId="46" fillId="4" borderId="0" xfId="2" applyFont="1" applyFill="1" applyBorder="1" applyAlignment="1">
      <alignment horizontal="center"/>
    </xf>
    <xf numFmtId="0" fontId="45" fillId="4" borderId="0" xfId="0" applyFont="1" applyFill="1" applyAlignment="1">
      <alignment horizontal="center" vertical="center" wrapText="1"/>
    </xf>
    <xf numFmtId="3" fontId="46" fillId="4" borderId="0" xfId="0" applyNumberFormat="1" applyFont="1" applyFill="1" applyAlignment="1">
      <alignment horizontal="center"/>
    </xf>
    <xf numFmtId="167" fontId="109" fillId="4" borderId="3" xfId="2" applyNumberFormat="1" applyFont="1" applyFill="1" applyBorder="1" applyAlignment="1">
      <alignment horizontal="center" vertical="center" wrapText="1"/>
    </xf>
    <xf numFmtId="167" fontId="45" fillId="4" borderId="13" xfId="2" applyNumberFormat="1" applyFont="1" applyFill="1" applyBorder="1" applyAlignment="1">
      <alignment horizontal="center"/>
    </xf>
    <xf numFmtId="167" fontId="84" fillId="4" borderId="0" xfId="2" applyNumberFormat="1" applyFont="1" applyFill="1" applyAlignment="1">
      <alignment horizontal="center" vertical="center" wrapText="1"/>
    </xf>
    <xf numFmtId="0" fontId="94" fillId="4" borderId="15" xfId="0" applyFont="1" applyFill="1" applyBorder="1" applyAlignment="1">
      <alignment horizontal="left" vertical="center" wrapText="1"/>
    </xf>
    <xf numFmtId="43" fontId="109" fillId="4" borderId="3" xfId="2" applyFont="1" applyFill="1" applyBorder="1" applyAlignment="1">
      <alignment horizontal="center" vertical="center" wrapText="1"/>
    </xf>
    <xf numFmtId="174" fontId="109" fillId="4" borderId="16" xfId="2" applyNumberFormat="1" applyFont="1" applyFill="1" applyBorder="1" applyAlignment="1">
      <alignment horizontal="center" vertical="center" wrapText="1"/>
    </xf>
    <xf numFmtId="174" fontId="109" fillId="4" borderId="20" xfId="2" applyNumberFormat="1" applyFont="1" applyFill="1" applyBorder="1" applyAlignment="1">
      <alignment horizontal="center" vertical="center" wrapText="1"/>
    </xf>
    <xf numFmtId="167" fontId="48" fillId="4" borderId="0" xfId="2" applyNumberFormat="1" applyFont="1" applyFill="1" applyBorder="1" applyAlignment="1">
      <alignment horizontal="center" vertical="center" wrapText="1"/>
    </xf>
    <xf numFmtId="167" fontId="111" fillId="4" borderId="0" xfId="2" applyNumberFormat="1" applyFont="1" applyFill="1" applyAlignment="1">
      <alignment horizontal="center" vertical="center" wrapText="1"/>
    </xf>
    <xf numFmtId="3" fontId="109" fillId="4" borderId="3" xfId="0" applyNumberFormat="1" applyFont="1" applyFill="1" applyBorder="1" applyAlignment="1">
      <alignment horizontal="center" vertical="center" wrapText="1"/>
    </xf>
    <xf numFmtId="167" fontId="140" fillId="4" borderId="13" xfId="0" applyNumberFormat="1" applyFont="1" applyFill="1" applyBorder="1" applyAlignment="1">
      <alignment horizontal="center" vertical="center"/>
    </xf>
    <xf numFmtId="0" fontId="140" fillId="4" borderId="13" xfId="0" applyFont="1" applyFill="1" applyBorder="1" applyAlignment="1">
      <alignment horizontal="center" vertical="center"/>
    </xf>
    <xf numFmtId="167" fontId="60" fillId="4" borderId="13" xfId="2" applyNumberFormat="1" applyFont="1" applyFill="1" applyBorder="1" applyAlignment="1">
      <alignment horizontal="center"/>
    </xf>
    <xf numFmtId="0" fontId="55" fillId="0" borderId="0" xfId="0" applyFont="1" applyAlignment="1">
      <alignment horizontal="center" vertical="center" wrapText="1"/>
    </xf>
    <xf numFmtId="3" fontId="47" fillId="4" borderId="0" xfId="0" applyNumberFormat="1" applyFont="1" applyFill="1" applyAlignment="1">
      <alignment horizontal="center" vertical="center"/>
    </xf>
    <xf numFmtId="0" fontId="38" fillId="0" borderId="21" xfId="0" applyFont="1" applyBorder="1" applyAlignment="1">
      <alignment horizontal="center" vertical="center" wrapText="1"/>
    </xf>
    <xf numFmtId="0" fontId="55" fillId="0" borderId="21" xfId="0" applyFont="1" applyBorder="1" applyAlignment="1">
      <alignment horizontal="center" vertical="center" wrapText="1"/>
    </xf>
    <xf numFmtId="0" fontId="38" fillId="0" borderId="22"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24" xfId="0" applyFont="1" applyBorder="1" applyAlignment="1">
      <alignment horizontal="center" vertical="center" wrapText="1"/>
    </xf>
    <xf numFmtId="0" fontId="38" fillId="4" borderId="21" xfId="0" applyFont="1" applyFill="1" applyBorder="1" applyAlignment="1">
      <alignment horizontal="center" vertical="center" wrapText="1"/>
    </xf>
    <xf numFmtId="175" fontId="38" fillId="0" borderId="13" xfId="0" applyNumberFormat="1" applyFont="1" applyBorder="1" applyAlignment="1">
      <alignment horizontal="center" vertical="center" wrapText="1"/>
    </xf>
    <xf numFmtId="0" fontId="55" fillId="0" borderId="26" xfId="0" applyFont="1" applyBorder="1" applyAlignment="1">
      <alignment horizontal="center" vertical="center" wrapText="1"/>
    </xf>
    <xf numFmtId="0" fontId="55" fillId="0" borderId="27" xfId="0" applyFont="1" applyBorder="1" applyAlignment="1">
      <alignment horizontal="center" vertical="center" wrapText="1"/>
    </xf>
    <xf numFmtId="0" fontId="55" fillId="0" borderId="20" xfId="0" applyFont="1" applyBorder="1" applyAlignment="1">
      <alignment horizontal="center" vertical="center" wrapText="1"/>
    </xf>
    <xf numFmtId="0" fontId="55" fillId="0" borderId="13" xfId="0" applyFont="1" applyBorder="1" applyAlignment="1">
      <alignment horizontal="center" vertical="center" wrapText="1"/>
    </xf>
    <xf numFmtId="0" fontId="61" fillId="4" borderId="0" xfId="0" applyFont="1" applyFill="1" applyAlignment="1">
      <alignment horizontal="center" wrapText="1"/>
    </xf>
    <xf numFmtId="0" fontId="141" fillId="4" borderId="0" xfId="0" applyFont="1" applyFill="1" applyAlignment="1">
      <alignment horizontal="center" vertical="center" wrapText="1"/>
    </xf>
    <xf numFmtId="0" fontId="118" fillId="4" borderId="0" xfId="0" applyFont="1" applyFill="1" applyAlignment="1">
      <alignment horizontal="center" wrapText="1"/>
    </xf>
    <xf numFmtId="0" fontId="55" fillId="0" borderId="70" xfId="0" applyFont="1" applyBorder="1" applyAlignment="1">
      <alignment horizontal="center" vertical="center" wrapText="1"/>
    </xf>
    <xf numFmtId="0" fontId="55" fillId="0" borderId="9" xfId="0" applyFont="1" applyBorder="1" applyAlignment="1">
      <alignment horizontal="center" vertical="center" wrapText="1"/>
    </xf>
    <xf numFmtId="0" fontId="55" fillId="0" borderId="11" xfId="0" applyFont="1" applyBorder="1" applyAlignment="1">
      <alignment horizontal="center" vertical="center" wrapText="1"/>
    </xf>
    <xf numFmtId="0" fontId="57" fillId="0" borderId="13" xfId="0" applyFont="1" applyBorder="1" applyAlignment="1">
      <alignment horizontal="center" vertical="center" wrapText="1"/>
    </xf>
    <xf numFmtId="337" fontId="38" fillId="0" borderId="13" xfId="0" applyNumberFormat="1" applyFont="1" applyBorder="1" applyAlignment="1">
      <alignment horizontal="center" vertical="center" wrapText="1"/>
    </xf>
    <xf numFmtId="174" fontId="38" fillId="0" borderId="13" xfId="0" applyNumberFormat="1" applyFont="1" applyBorder="1" applyAlignment="1">
      <alignment horizontal="center" vertical="center" wrapText="1"/>
    </xf>
    <xf numFmtId="167" fontId="48" fillId="4" borderId="0" xfId="2" applyNumberFormat="1" applyFont="1" applyFill="1" applyAlignment="1">
      <alignment horizontal="center" vertical="center" wrapText="1"/>
    </xf>
    <xf numFmtId="167" fontId="49" fillId="4" borderId="0" xfId="2" applyNumberFormat="1" applyFont="1" applyFill="1" applyAlignment="1">
      <alignment horizontal="center" vertical="center" wrapText="1"/>
    </xf>
    <xf numFmtId="3" fontId="152" fillId="0" borderId="0" xfId="0" applyNumberFormat="1" applyFont="1" applyAlignment="1">
      <alignment horizontal="justify" wrapText="1"/>
    </xf>
    <xf numFmtId="0" fontId="152" fillId="0" borderId="0" xfId="0" applyFont="1" applyAlignment="1">
      <alignment horizontal="justify" wrapText="1"/>
    </xf>
    <xf numFmtId="43" fontId="89" fillId="3" borderId="0" xfId="2" applyFont="1" applyFill="1" applyBorder="1" applyAlignment="1">
      <alignment horizontal="right"/>
    </xf>
    <xf numFmtId="0" fontId="153" fillId="0" borderId="0" xfId="0" applyFont="1" applyAlignment="1">
      <alignment horizontal="center"/>
    </xf>
    <xf numFmtId="0" fontId="153" fillId="0" borderId="0" xfId="0" applyFont="1" applyAlignment="1">
      <alignment horizontal="center" vertical="center"/>
    </xf>
    <xf numFmtId="0" fontId="92" fillId="0" borderId="0" xfId="0" applyFont="1" applyAlignment="1">
      <alignment horizontal="center" wrapText="1"/>
    </xf>
    <xf numFmtId="0" fontId="140" fillId="4" borderId="13" xfId="0" applyFont="1" applyFill="1" applyBorder="1" applyAlignment="1">
      <alignment horizontal="right"/>
    </xf>
    <xf numFmtId="170" fontId="55" fillId="4" borderId="68" xfId="2" applyNumberFormat="1" applyFont="1" applyFill="1" applyBorder="1" applyAlignment="1">
      <alignment horizontal="center" vertical="center" wrapText="1"/>
    </xf>
    <xf numFmtId="0" fontId="55" fillId="4" borderId="68" xfId="0" applyFont="1" applyFill="1" applyBorder="1" applyAlignment="1">
      <alignment horizontal="center" vertical="center" wrapText="1"/>
    </xf>
    <xf numFmtId="0" fontId="55" fillId="4" borderId="22" xfId="0" applyFont="1" applyFill="1" applyBorder="1" applyAlignment="1">
      <alignment horizontal="center" vertical="center" wrapText="1"/>
    </xf>
    <xf numFmtId="0" fontId="55" fillId="4" borderId="23" xfId="0" applyFont="1" applyFill="1" applyBorder="1" applyAlignment="1">
      <alignment horizontal="center" vertical="center" wrapText="1"/>
    </xf>
    <xf numFmtId="0" fontId="55" fillId="4" borderId="25" xfId="0" applyFont="1" applyFill="1" applyBorder="1" applyAlignment="1">
      <alignment horizontal="center" vertical="center" wrapText="1"/>
    </xf>
    <xf numFmtId="0" fontId="55" fillId="4" borderId="9" xfId="0" applyFont="1" applyFill="1" applyBorder="1" applyAlignment="1">
      <alignment horizontal="center" vertical="center" wrapText="1"/>
    </xf>
    <xf numFmtId="0" fontId="55" fillId="4" borderId="11" xfId="0" applyFont="1" applyFill="1" applyBorder="1" applyAlignment="1">
      <alignment horizontal="center" vertical="center" wrapText="1"/>
    </xf>
    <xf numFmtId="0" fontId="55" fillId="4" borderId="70" xfId="0" applyFont="1" applyFill="1" applyBorder="1" applyAlignment="1">
      <alignment horizontal="center" vertical="center" wrapText="1"/>
    </xf>
    <xf numFmtId="0" fontId="10" fillId="0" borderId="0" xfId="0" applyFont="1" applyAlignment="1">
      <alignment horizontal="center"/>
    </xf>
    <xf numFmtId="0" fontId="19" fillId="4" borderId="25" xfId="0" applyFont="1" applyFill="1" applyBorder="1" applyAlignment="1">
      <alignment horizontal="center" vertical="center" wrapText="1"/>
    </xf>
    <xf numFmtId="0" fontId="19" fillId="4" borderId="11" xfId="0" applyFont="1" applyFill="1" applyBorder="1" applyAlignment="1">
      <alignment horizontal="center" vertical="center" wrapText="1"/>
    </xf>
    <xf numFmtId="3" fontId="3" fillId="0" borderId="0" xfId="0" applyNumberFormat="1" applyFont="1" applyAlignment="1">
      <alignment horizontal="center" vertical="center"/>
    </xf>
    <xf numFmtId="0" fontId="3" fillId="0" borderId="0" xfId="0" applyFont="1" applyAlignment="1">
      <alignment horizontal="center" vertical="center"/>
    </xf>
    <xf numFmtId="0" fontId="36" fillId="4" borderId="21" xfId="0" applyFont="1" applyFill="1" applyBorder="1" applyAlignment="1">
      <alignment horizontal="center" vertical="center" wrapText="1"/>
    </xf>
    <xf numFmtId="0" fontId="81" fillId="0" borderId="0" xfId="0" applyFont="1" applyAlignment="1">
      <alignment horizontal="center"/>
    </xf>
    <xf numFmtId="0" fontId="36" fillId="4" borderId="70" xfId="0" applyFont="1" applyFill="1" applyBorder="1" applyAlignment="1">
      <alignment horizontal="center" vertical="center" wrapText="1"/>
    </xf>
    <xf numFmtId="0" fontId="36" fillId="4" borderId="9" xfId="0" applyFont="1" applyFill="1" applyBorder="1" applyAlignment="1">
      <alignment horizontal="center" vertical="center" wrapText="1"/>
    </xf>
    <xf numFmtId="0" fontId="36" fillId="4" borderId="11" xfId="0" applyFont="1" applyFill="1" applyBorder="1" applyAlignment="1">
      <alignment horizontal="center" vertical="center" wrapText="1"/>
    </xf>
    <xf numFmtId="0" fontId="7" fillId="0" borderId="0" xfId="0" applyFont="1" applyAlignment="1">
      <alignment horizontal="left" vertical="center" wrapText="1"/>
    </xf>
    <xf numFmtId="341" fontId="4" fillId="0" borderId="0" xfId="2289" applyNumberFormat="1" applyFont="1" applyAlignment="1">
      <alignment horizontal="center" vertical="center" wrapText="1"/>
    </xf>
    <xf numFmtId="341" fontId="3" fillId="0" borderId="0" xfId="2289" applyNumberFormat="1"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right" vertical="center" wrapText="1"/>
    </xf>
    <xf numFmtId="0" fontId="4" fillId="0" borderId="0" xfId="0" applyFont="1" applyAlignment="1">
      <alignment horizontal="right" vertical="center" wrapText="1"/>
    </xf>
    <xf numFmtId="0" fontId="3" fillId="0" borderId="7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4" xfId="0" applyFont="1" applyBorder="1" applyAlignment="1">
      <alignment horizontal="center" vertical="center" wrapText="1"/>
    </xf>
    <xf numFmtId="0" fontId="155" fillId="4" borderId="70" xfId="0" applyFont="1" applyFill="1" applyBorder="1" applyAlignment="1">
      <alignment horizontal="center" vertical="center" wrapText="1"/>
    </xf>
    <xf numFmtId="0" fontId="155" fillId="4" borderId="9" xfId="0" applyFont="1" applyFill="1" applyBorder="1" applyAlignment="1">
      <alignment horizontal="center" vertical="center" wrapText="1"/>
    </xf>
    <xf numFmtId="0" fontId="155" fillId="4" borderId="11" xfId="0" applyFont="1" applyFill="1" applyBorder="1" applyAlignment="1">
      <alignment horizontal="center" vertical="center" wrapText="1"/>
    </xf>
    <xf numFmtId="0" fontId="38" fillId="0" borderId="0" xfId="0" applyFont="1" applyAlignment="1">
      <alignment horizontal="left" wrapText="1"/>
    </xf>
    <xf numFmtId="0" fontId="369" fillId="0" borderId="70" xfId="0" applyFont="1" applyBorder="1" applyAlignment="1">
      <alignment horizontal="center" vertical="center" wrapText="1"/>
    </xf>
    <xf numFmtId="0" fontId="369" fillId="0" borderId="11" xfId="0" applyFont="1" applyBorder="1" applyAlignment="1">
      <alignment horizontal="center" vertical="center" wrapText="1"/>
    </xf>
    <xf numFmtId="0" fontId="369" fillId="0" borderId="22" xfId="0" applyFont="1" applyBorder="1" applyAlignment="1">
      <alignment horizontal="center" vertical="center" wrapText="1"/>
    </xf>
    <xf numFmtId="0" fontId="369" fillId="0" borderId="24" xfId="0" applyFont="1" applyBorder="1" applyAlignment="1">
      <alignment horizontal="center" vertical="center" wrapText="1"/>
    </xf>
    <xf numFmtId="0" fontId="369" fillId="0" borderId="23" xfId="0" applyFont="1" applyBorder="1" applyAlignment="1">
      <alignment horizontal="center" vertical="center" wrapText="1"/>
    </xf>
    <xf numFmtId="0" fontId="369" fillId="0" borderId="0" xfId="0" applyFont="1" applyAlignment="1">
      <alignment horizontal="right" vertical="center" wrapText="1"/>
    </xf>
    <xf numFmtId="0" fontId="26" fillId="0" borderId="0" xfId="0" applyFont="1" applyAlignment="1">
      <alignment horizontal="center" wrapText="1"/>
    </xf>
    <xf numFmtId="0" fontId="364" fillId="0" borderId="0" xfId="0" applyFont="1" applyAlignment="1">
      <alignment horizontal="center" vertical="center"/>
    </xf>
    <xf numFmtId="0" fontId="364" fillId="0" borderId="13" xfId="0" applyFont="1" applyBorder="1" applyAlignment="1">
      <alignment horizontal="right"/>
    </xf>
    <xf numFmtId="0" fontId="369" fillId="0" borderId="9" xfId="0" applyFont="1" applyBorder="1" applyAlignment="1">
      <alignment horizontal="center" vertical="center" wrapText="1"/>
    </xf>
    <xf numFmtId="0" fontId="369" fillId="0" borderId="0" xfId="0" applyFont="1" applyAlignment="1">
      <alignment horizontal="left" vertical="center" wrapText="1"/>
    </xf>
    <xf numFmtId="0" fontId="26" fillId="4" borderId="0" xfId="0" applyFont="1" applyFill="1" applyAlignment="1">
      <alignment horizontal="left" vertical="center" wrapText="1"/>
    </xf>
    <xf numFmtId="0" fontId="125"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right" vertical="center" wrapText="1"/>
    </xf>
    <xf numFmtId="0" fontId="26" fillId="4" borderId="70" xfId="0" applyFont="1" applyFill="1" applyBorder="1" applyAlignment="1">
      <alignment horizontal="center" vertical="center" wrapText="1"/>
    </xf>
    <xf numFmtId="0" fontId="26" fillId="4" borderId="9" xfId="0" applyFont="1" applyFill="1" applyBorder="1" applyAlignment="1">
      <alignment horizontal="center" vertical="center" wrapText="1"/>
    </xf>
    <xf numFmtId="0" fontId="26" fillId="4" borderId="11" xfId="0" applyFont="1" applyFill="1" applyBorder="1" applyAlignment="1">
      <alignment horizontal="center" vertical="center" wrapText="1"/>
    </xf>
    <xf numFmtId="0" fontId="26" fillId="0" borderId="69"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0" xfId="0" applyFont="1" applyAlignment="1">
      <alignment horizontal="center" vertical="center" wrapText="1"/>
    </xf>
    <xf numFmtId="0" fontId="6" fillId="4" borderId="0" xfId="0" applyFont="1" applyFill="1" applyAlignment="1">
      <alignment horizontal="center" vertical="center" wrapText="1"/>
    </xf>
    <xf numFmtId="0" fontId="5" fillId="4" borderId="27" xfId="0" applyFont="1" applyFill="1" applyBorder="1" applyAlignment="1">
      <alignment horizontal="left" vertical="center" wrapText="1"/>
    </xf>
    <xf numFmtId="0" fontId="5" fillId="0" borderId="0" xfId="0" applyFont="1" applyAlignment="1">
      <alignment horizontal="left" vertical="center" wrapText="1"/>
    </xf>
    <xf numFmtId="170" fontId="22" fillId="4" borderId="3" xfId="2" applyNumberFormat="1" applyFont="1" applyFill="1" applyBorder="1" applyAlignment="1">
      <alignment horizontal="center" vertical="center" wrapText="1"/>
    </xf>
    <xf numFmtId="170" fontId="22" fillId="4" borderId="17" xfId="2" applyNumberFormat="1" applyFont="1" applyFill="1" applyBorder="1" applyAlignment="1">
      <alignment horizontal="center" vertical="center" wrapText="1"/>
    </xf>
    <xf numFmtId="0" fontId="22" fillId="4" borderId="19" xfId="0" applyFont="1" applyFill="1" applyBorder="1" applyAlignment="1">
      <alignment horizontal="center" vertical="center" wrapText="1"/>
    </xf>
    <xf numFmtId="0" fontId="73" fillId="4" borderId="0" xfId="0" applyFont="1" applyFill="1" applyAlignment="1">
      <alignment horizontal="center"/>
    </xf>
    <xf numFmtId="0" fontId="65" fillId="4" borderId="0" xfId="0" applyFont="1" applyFill="1" applyAlignment="1">
      <alignment horizontal="center"/>
    </xf>
    <xf numFmtId="0" fontId="22" fillId="4" borderId="8" xfId="0" applyFont="1" applyFill="1" applyBorder="1" applyAlignment="1">
      <alignment horizontal="center" vertical="center" wrapText="1"/>
    </xf>
    <xf numFmtId="0" fontId="53" fillId="4" borderId="11" xfId="0" applyFont="1" applyFill="1" applyBorder="1" applyAlignment="1">
      <alignment horizontal="center" vertical="center" wrapText="1"/>
    </xf>
    <xf numFmtId="0" fontId="22" fillId="4" borderId="11" xfId="0" applyFont="1" applyFill="1" applyBorder="1" applyAlignment="1">
      <alignment horizontal="center" vertical="center" wrapText="1"/>
    </xf>
    <xf numFmtId="167" fontId="22" fillId="4" borderId="8" xfId="2" applyNumberFormat="1" applyFont="1" applyFill="1" applyBorder="1" applyAlignment="1">
      <alignment horizontal="center" vertical="center" wrapText="1"/>
    </xf>
    <xf numFmtId="167" fontId="22" fillId="4" borderId="11" xfId="2" applyNumberFormat="1" applyFont="1" applyFill="1" applyBorder="1" applyAlignment="1">
      <alignment horizontal="center" vertical="center" wrapText="1"/>
    </xf>
    <xf numFmtId="170" fontId="22" fillId="4" borderId="8" xfId="2" applyNumberFormat="1" applyFont="1" applyFill="1" applyBorder="1" applyAlignment="1">
      <alignment horizontal="center" vertical="center" wrapText="1"/>
    </xf>
    <xf numFmtId="170" fontId="22" fillId="4" borderId="11" xfId="2" applyNumberFormat="1" applyFont="1" applyFill="1" applyBorder="1" applyAlignment="1">
      <alignment horizontal="center" vertical="center" wrapText="1"/>
    </xf>
    <xf numFmtId="0" fontId="59" fillId="4" borderId="3" xfId="0" applyFont="1" applyFill="1" applyBorder="1" applyAlignment="1">
      <alignment horizontal="center" vertical="center" wrapText="1"/>
    </xf>
    <xf numFmtId="43" fontId="47" fillId="4" borderId="0" xfId="2" applyFont="1" applyFill="1" applyBorder="1" applyAlignment="1">
      <alignment horizontal="center"/>
    </xf>
    <xf numFmtId="173" fontId="59" fillId="4" borderId="3" xfId="2" applyNumberFormat="1" applyFont="1" applyFill="1" applyBorder="1" applyAlignment="1">
      <alignment horizontal="center" vertical="center" wrapText="1"/>
    </xf>
    <xf numFmtId="0" fontId="49" fillId="4" borderId="0" xfId="0" applyFont="1" applyFill="1" applyAlignment="1">
      <alignment horizontal="center"/>
    </xf>
    <xf numFmtId="0" fontId="34" fillId="0" borderId="0" xfId="0" applyFont="1" applyAlignment="1">
      <alignment horizontal="center" vertical="center" wrapText="1"/>
    </xf>
    <xf numFmtId="0" fontId="83" fillId="0" borderId="21" xfId="0" applyFont="1" applyBorder="1" applyAlignment="1">
      <alignment horizontal="center" vertical="center" wrapText="1"/>
    </xf>
    <xf numFmtId="0" fontId="22" fillId="0" borderId="0" xfId="0" applyFont="1" applyAlignment="1">
      <alignment horizontal="center" vertical="center"/>
    </xf>
    <xf numFmtId="0" fontId="16" fillId="0" borderId="13" xfId="38" applyFont="1" applyBorder="1" applyAlignment="1">
      <alignment horizontal="right" vertical="center"/>
    </xf>
    <xf numFmtId="49" fontId="112" fillId="0" borderId="9" xfId="0" applyNumberFormat="1" applyFont="1" applyBorder="1" applyAlignment="1">
      <alignment horizontal="center" vertical="center" wrapText="1"/>
    </xf>
    <xf numFmtId="49" fontId="112" fillId="0" borderId="7" xfId="0" applyNumberFormat="1" applyFont="1" applyBorder="1" applyAlignment="1">
      <alignment horizontal="center" vertical="center" wrapText="1"/>
    </xf>
    <xf numFmtId="49" fontId="112" fillId="0" borderId="10" xfId="0" applyNumberFormat="1" applyFont="1" applyBorder="1" applyAlignment="1">
      <alignment horizontal="center" vertical="center" wrapText="1"/>
    </xf>
    <xf numFmtId="168" fontId="7" fillId="4" borderId="10" xfId="2" applyNumberFormat="1" applyFont="1" applyFill="1" applyBorder="1" applyAlignment="1">
      <alignment horizontal="center" vertical="center" wrapText="1"/>
    </xf>
    <xf numFmtId="168" fontId="7" fillId="4" borderId="9" xfId="2" applyNumberFormat="1" applyFont="1" applyFill="1" applyBorder="1" applyAlignment="1">
      <alignment horizontal="center" vertical="center" wrapText="1"/>
    </xf>
    <xf numFmtId="168" fontId="7" fillId="4" borderId="7" xfId="2" applyNumberFormat="1" applyFont="1" applyFill="1" applyBorder="1" applyAlignment="1">
      <alignment horizontal="center" vertical="center" wrapText="1"/>
    </xf>
    <xf numFmtId="49" fontId="112" fillId="0" borderId="5" xfId="0" applyNumberFormat="1" applyFont="1" applyBorder="1" applyAlignment="1">
      <alignment horizontal="center" vertical="center" wrapText="1"/>
    </xf>
    <xf numFmtId="0" fontId="19" fillId="0" borderId="5" xfId="0" applyFont="1" applyBorder="1" applyAlignment="1">
      <alignment horizontal="center" vertical="center" wrapText="1"/>
    </xf>
    <xf numFmtId="0" fontId="17" fillId="0" borderId="0" xfId="0" applyFont="1" applyAlignment="1">
      <alignment horizontal="center" vertical="center" wrapText="1"/>
    </xf>
    <xf numFmtId="0" fontId="119" fillId="4" borderId="0" xfId="0" applyFont="1" applyFill="1" applyAlignment="1">
      <alignment horizontal="center"/>
    </xf>
    <xf numFmtId="0" fontId="22" fillId="4" borderId="22"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69" fillId="4" borderId="0" xfId="0" applyFont="1" applyFill="1" applyAlignment="1">
      <alignment horizontal="center" vertical="center" wrapText="1"/>
    </xf>
    <xf numFmtId="0" fontId="84" fillId="4" borderId="0" xfId="0" applyFont="1" applyFill="1" applyAlignment="1">
      <alignment horizontal="center" vertical="center" wrapText="1"/>
    </xf>
    <xf numFmtId="0" fontId="111" fillId="4" borderId="0" xfId="0" applyFont="1" applyFill="1" applyAlignment="1">
      <alignment horizontal="center" vertical="center" wrapText="1"/>
    </xf>
    <xf numFmtId="0" fontId="70" fillId="4" borderId="5" xfId="0" applyFont="1" applyFill="1" applyBorder="1" applyAlignment="1">
      <alignment horizontal="center" vertical="center" wrapText="1"/>
    </xf>
    <xf numFmtId="14" fontId="70" fillId="4" borderId="5" xfId="0" applyNumberFormat="1" applyFont="1" applyFill="1" applyBorder="1" applyAlignment="1">
      <alignment horizontal="center" vertical="center" wrapText="1"/>
    </xf>
    <xf numFmtId="0" fontId="50" fillId="4" borderId="5" xfId="0" applyFont="1" applyFill="1" applyBorder="1" applyAlignment="1">
      <alignment horizontal="center" vertical="center" wrapText="1"/>
    </xf>
    <xf numFmtId="0" fontId="70" fillId="4" borderId="5" xfId="0" applyFont="1" applyFill="1" applyBorder="1" applyAlignment="1">
      <alignment horizontal="justify" vertical="center" wrapText="1"/>
    </xf>
    <xf numFmtId="0" fontId="50" fillId="4" borderId="5" xfId="0" applyFont="1" applyFill="1" applyBorder="1" applyAlignment="1">
      <alignment horizontal="justify" vertical="center" wrapText="1"/>
    </xf>
    <xf numFmtId="0" fontId="22" fillId="4" borderId="23"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24" xfId="0" applyFont="1" applyFill="1" applyBorder="1" applyAlignment="1">
      <alignment horizontal="center" vertical="center" wrapText="1"/>
    </xf>
    <xf numFmtId="3" fontId="22" fillId="4" borderId="25" xfId="0" applyNumberFormat="1" applyFont="1" applyFill="1" applyBorder="1" applyAlignment="1">
      <alignment horizontal="center" vertical="center" wrapText="1"/>
    </xf>
    <xf numFmtId="3" fontId="22" fillId="4" borderId="11" xfId="0" applyNumberFormat="1" applyFont="1" applyFill="1" applyBorder="1" applyAlignment="1">
      <alignment horizontal="center" vertical="center" wrapText="1"/>
    </xf>
    <xf numFmtId="0" fontId="95" fillId="4" borderId="5" xfId="0" applyFont="1" applyFill="1" applyBorder="1" applyAlignment="1">
      <alignment horizontal="center" vertical="center" wrapText="1"/>
    </xf>
    <xf numFmtId="14" fontId="95" fillId="4" borderId="5" xfId="0" applyNumberFormat="1" applyFont="1" applyFill="1" applyBorder="1" applyAlignment="1">
      <alignment horizontal="center" vertical="center" wrapText="1"/>
    </xf>
    <xf numFmtId="0" fontId="112" fillId="0" borderId="5" xfId="0" applyFont="1" applyBorder="1" applyAlignment="1">
      <alignment horizontal="center" vertical="center" wrapText="1"/>
    </xf>
    <xf numFmtId="0" fontId="48" fillId="4" borderId="13" xfId="0" applyFont="1" applyFill="1" applyBorder="1" applyAlignment="1">
      <alignment horizontal="right"/>
    </xf>
    <xf numFmtId="0" fontId="54" fillId="0" borderId="70" xfId="0" applyFont="1" applyBorder="1" applyAlignment="1">
      <alignment horizontal="center" vertical="center" wrapText="1"/>
    </xf>
    <xf numFmtId="177" fontId="54" fillId="0" borderId="70" xfId="0" applyNumberFormat="1" applyFont="1" applyBorder="1" applyAlignment="1">
      <alignment horizontal="right" vertical="center" wrapText="1"/>
    </xf>
    <xf numFmtId="177" fontId="50" fillId="4" borderId="5" xfId="2" applyNumberFormat="1" applyFont="1" applyFill="1" applyBorder="1" applyAlignment="1">
      <alignment horizontal="right" vertical="center" wrapText="1"/>
    </xf>
    <xf numFmtId="194" fontId="50" fillId="4" borderId="0" xfId="0" applyNumberFormat="1" applyFont="1" applyFill="1" applyAlignment="1">
      <alignment horizontal="center" vertical="center" wrapText="1"/>
    </xf>
    <xf numFmtId="177" fontId="45" fillId="4" borderId="6" xfId="2" applyNumberFormat="1" applyFont="1" applyFill="1" applyBorder="1" applyAlignment="1">
      <alignment horizontal="right" vertical="center" wrapText="1"/>
    </xf>
    <xf numFmtId="177" fontId="50" fillId="4" borderId="6" xfId="0" applyNumberFormat="1" applyFont="1" applyFill="1" applyBorder="1" applyAlignment="1">
      <alignment horizontal="right" vertical="center" wrapText="1"/>
    </xf>
    <xf numFmtId="167" fontId="73" fillId="4" borderId="0" xfId="2" applyNumberFormat="1" applyFont="1" applyFill="1" applyAlignment="1">
      <alignment horizontal="center" vertical="center" wrapText="1"/>
    </xf>
    <xf numFmtId="0" fontId="82" fillId="4" borderId="0" xfId="0" applyFont="1" applyFill="1" applyAlignment="1">
      <alignment horizontal="center" vertical="center" wrapText="1"/>
    </xf>
  </cellXfs>
  <cellStyles count="2290">
    <cellStyle name="_x0001_" xfId="49" xr:uid="{00000000-0005-0000-0000-000000000000}"/>
    <cellStyle name="          _x000d__x000a_shell=progman.exe_x000d__x000a_m" xfId="50" xr:uid="{00000000-0005-0000-0000-000001000000}"/>
    <cellStyle name="          _x000d__x000a_shell=progman.exe_x000d__x000a_m 2" xfId="51" xr:uid="{00000000-0005-0000-0000-000002000000}"/>
    <cellStyle name="_x000d__x000a_JournalTemplate=C:\COMFO\CTALK\JOURSTD.TPL_x000d__x000a_LbStateAddress=3 3 0 251 1 89 2 311_x000d__x000a_LbStateJou" xfId="52" xr:uid="{00000000-0005-0000-0000-000003000000}"/>
    <cellStyle name="_x000d__x000a_JournalTemplate=C:\COMFO\CTALK\JOURSTD.TPL_x000d__x000a_LbStateAddress=3 3 0 251 1 89 2 311_x000d__x000a_LbStateJou 3" xfId="53" xr:uid="{00000000-0005-0000-0000-000004000000}"/>
    <cellStyle name="#,##0" xfId="54" xr:uid="{00000000-0005-0000-0000-000005000000}"/>
    <cellStyle name="%" xfId="55" xr:uid="{00000000-0005-0000-0000-000006000000}"/>
    <cellStyle name="." xfId="56" xr:uid="{00000000-0005-0000-0000-000007000000}"/>
    <cellStyle name=". 2" xfId="57" xr:uid="{00000000-0005-0000-0000-000008000000}"/>
    <cellStyle name=". 3" xfId="58" xr:uid="{00000000-0005-0000-0000-000009000000}"/>
    <cellStyle name=".d©y" xfId="59" xr:uid="{00000000-0005-0000-0000-00000A000000}"/>
    <cellStyle name="??" xfId="60" xr:uid="{00000000-0005-0000-0000-00000B000000}"/>
    <cellStyle name="?? [0.00]_ Att. 1- Cover" xfId="61" xr:uid="{00000000-0005-0000-0000-00000C000000}"/>
    <cellStyle name="?? [0]" xfId="62" xr:uid="{00000000-0005-0000-0000-00000D000000}"/>
    <cellStyle name="?? [0] 2" xfId="63" xr:uid="{00000000-0005-0000-0000-00000E000000}"/>
    <cellStyle name="?? 2" xfId="64" xr:uid="{00000000-0005-0000-0000-00000F000000}"/>
    <cellStyle name="?? 3" xfId="65" xr:uid="{00000000-0005-0000-0000-000010000000}"/>
    <cellStyle name="?? 4" xfId="66" xr:uid="{00000000-0005-0000-0000-000011000000}"/>
    <cellStyle name="?_x001d_??%U©÷u&amp;H©÷9_x0008_?_x0009_s_x000a__x0007__x0001__x0001_" xfId="67" xr:uid="{00000000-0005-0000-0000-000012000000}"/>
    <cellStyle name="???? [0.00]_      " xfId="68" xr:uid="{00000000-0005-0000-0000-000013000000}"/>
    <cellStyle name="??????" xfId="69" xr:uid="{00000000-0005-0000-0000-000014000000}"/>
    <cellStyle name="????_      " xfId="70" xr:uid="{00000000-0005-0000-0000-000015000000}"/>
    <cellStyle name="???[0]_?? DI" xfId="71" xr:uid="{00000000-0005-0000-0000-000016000000}"/>
    <cellStyle name="???_?? DI" xfId="72" xr:uid="{00000000-0005-0000-0000-000017000000}"/>
    <cellStyle name="??[0]_BRE" xfId="73" xr:uid="{00000000-0005-0000-0000-000018000000}"/>
    <cellStyle name="??_      " xfId="74" xr:uid="{00000000-0005-0000-0000-000019000000}"/>
    <cellStyle name="??A? [0]_laroux_1_¢¬???¢â? " xfId="75" xr:uid="{00000000-0005-0000-0000-00001A000000}"/>
    <cellStyle name="??A?_laroux_1_¢¬???¢â? " xfId="76" xr:uid="{00000000-0005-0000-0000-00001B000000}"/>
    <cellStyle name="?¡±¢¥?_?¨ù??¢´¢¥_¢¬???¢â? " xfId="77" xr:uid="{00000000-0005-0000-0000-00001C000000}"/>
    <cellStyle name="?ðÇ%U?&amp;H?_x0008_?s_x000a__x0007__x0001__x0001_" xfId="78" xr:uid="{00000000-0005-0000-0000-00001D000000}"/>
    <cellStyle name="[0]_Chi phÝ kh¸c_V" xfId="79" xr:uid="{00000000-0005-0000-0000-00001E000000}"/>
    <cellStyle name="_1 TONG HOP - CA NA" xfId="80" xr:uid="{00000000-0005-0000-0000-00001F000000}"/>
    <cellStyle name="_123_DONG_THANH_Moi" xfId="81" xr:uid="{00000000-0005-0000-0000-000020000000}"/>
    <cellStyle name="_123_DONG_THANH_Moi_131114- Bieu giao du toan CTMTQG 2014 giao" xfId="82" xr:uid="{00000000-0005-0000-0000-000021000000}"/>
    <cellStyle name="_130307 So sanh thuc hien 2012 - du toan 2012 moi (pan khac)" xfId="83" xr:uid="{00000000-0005-0000-0000-000022000000}"/>
    <cellStyle name="_130313 Mau  bieu bao cao nguon luc cua dia phuong sua" xfId="84" xr:uid="{00000000-0005-0000-0000-000023000000}"/>
    <cellStyle name="_130818 Tong hop Danh gia thu 2013" xfId="85" xr:uid="{00000000-0005-0000-0000-000024000000}"/>
    <cellStyle name="_130818 Tong hop Danh gia thu 2013_140921 bu giam thu ND 209" xfId="86" xr:uid="{00000000-0005-0000-0000-000025000000}"/>
    <cellStyle name="_130818 Tong hop Danh gia thu 2013_150809  UTH  2015" xfId="87" xr:uid="{00000000-0005-0000-0000-000026000000}"/>
    <cellStyle name="_130818 Tong hop Danh gia thu 2013_A141023 UTH nam 2014 (574.100)" xfId="88" xr:uid="{00000000-0005-0000-0000-000027000000}"/>
    <cellStyle name="_130818 Tong hop Danh gia thu 2013_A150305 209" xfId="89" xr:uid="{00000000-0005-0000-0000-000028000000}"/>
    <cellStyle name="_130818 Tong hop Danh gia thu 2013_A160201 Thuc hien thu 2014, 2015, 2016 (Bao cao Vu)" xfId="90" xr:uid="{00000000-0005-0000-0000-000029000000}"/>
    <cellStyle name="_130818 Tong hop Danh gia thu 2013_EXTIMATE 2016" xfId="91" xr:uid="{00000000-0005-0000-0000-00002A000000}"/>
    <cellStyle name="_130818 Tong hop Danh gia thu 2013_REV 2014" xfId="92" xr:uid="{00000000-0005-0000-0000-00002B000000}"/>
    <cellStyle name="_150115 Tong hop thu NSNN theo so KBNN (cong SGD dieu chinh Quang Ngai)" xfId="93" xr:uid="{00000000-0005-0000-0000-00002C000000}"/>
    <cellStyle name="_150115 Tong hop thu NSNN theo so KBNN (goc)" xfId="94" xr:uid="{00000000-0005-0000-0000-00002D000000}"/>
    <cellStyle name="_160112 Thu kho bac nhan nuoc 2015" xfId="95" xr:uid="{00000000-0005-0000-0000-00002E000000}"/>
    <cellStyle name="_19- Hai Duong-V1" xfId="96" xr:uid="{00000000-0005-0000-0000-00002F000000}"/>
    <cellStyle name="_19- Hai Duong-V1_TH Ket qua thao luan nam 2015 - Vong 1- TCT (Nhan)" xfId="97" xr:uid="{00000000-0005-0000-0000-000030000000}"/>
    <cellStyle name="_Bang Chi tieu (2)" xfId="98" xr:uid="{00000000-0005-0000-0000-000031000000}"/>
    <cellStyle name="_BAO GIA NGAY 24-10-08 (co dam)" xfId="99" xr:uid="{00000000-0005-0000-0000-000032000000}"/>
    <cellStyle name="_BC CV 6403 BKHĐT" xfId="100" xr:uid="{00000000-0005-0000-0000-000033000000}"/>
    <cellStyle name="_Book1" xfId="101" xr:uid="{00000000-0005-0000-0000-000034000000}"/>
    <cellStyle name="_Book1_1" xfId="102" xr:uid="{00000000-0005-0000-0000-000035000000}"/>
    <cellStyle name="_Book1_131114- Bieu giao du toan CTMTQG 2014 giao" xfId="103" xr:uid="{00000000-0005-0000-0000-000036000000}"/>
    <cellStyle name="_Book1_cong hang rao" xfId="104" xr:uid="{00000000-0005-0000-0000-000037000000}"/>
    <cellStyle name="_Book1_cong hang rao_131114- Bieu giao du toan CTMTQG 2014 giao" xfId="105" xr:uid="{00000000-0005-0000-0000-000038000000}"/>
    <cellStyle name="_Book1_IN" xfId="106" xr:uid="{00000000-0005-0000-0000-000039000000}"/>
    <cellStyle name="_Book1_Kh ql62 (2010) 11-09" xfId="107" xr:uid="{00000000-0005-0000-0000-00003A000000}"/>
    <cellStyle name="_Book1_Khung 2012" xfId="108" xr:uid="{00000000-0005-0000-0000-00003B000000}"/>
    <cellStyle name="_Book1_phu luc tong ket tinh hinh TH giai doan 03-10 (ngay 30)" xfId="109" xr:uid="{00000000-0005-0000-0000-00003C000000}"/>
    <cellStyle name="_Book1_phu luc tong ket tinh hinh TH giai doan 03-10 (ngay 30)_131114- Bieu giao du toan CTMTQG 2014 giao" xfId="110" xr:uid="{00000000-0005-0000-0000-00003D000000}"/>
    <cellStyle name="_C.cong+B.luong-Sanluong" xfId="111" xr:uid="{00000000-0005-0000-0000-00003E000000}"/>
    <cellStyle name="_cong hang rao" xfId="112" xr:uid="{00000000-0005-0000-0000-00003F000000}"/>
    <cellStyle name="_x0001__CTMTQG 2015" xfId="113" xr:uid="{00000000-0005-0000-0000-000040000000}"/>
    <cellStyle name="_DG 2012-DT2013 - Theo sac thue -sua" xfId="114" xr:uid="{00000000-0005-0000-0000-000041000000}"/>
    <cellStyle name="_DG 2012-DT2013 - Theo sac thue -sua_120907 Thu tang them 4500" xfId="115" xr:uid="{00000000-0005-0000-0000-000042000000}"/>
    <cellStyle name="_DG 2012-DT2013 - Theo sac thue -sua_27-8Tong hop PA uoc 2012-DT 2013 -PA 420.000 ty-490.000 ty chuyen doi" xfId="116" xr:uid="{00000000-0005-0000-0000-000043000000}"/>
    <cellStyle name="_dien chieu sang" xfId="117" xr:uid="{00000000-0005-0000-0000-000044000000}"/>
    <cellStyle name="_DO-D1500-KHONG CO TRONG DT" xfId="118" xr:uid="{00000000-0005-0000-0000-000045000000}"/>
    <cellStyle name="_Duyet TK thay đôi" xfId="119" xr:uid="{00000000-0005-0000-0000-000046000000}"/>
    <cellStyle name="_Duyet TK thay đôi_131114- Bieu giao du toan CTMTQG 2014 giao" xfId="120" xr:uid="{00000000-0005-0000-0000-000047000000}"/>
    <cellStyle name="_EXTIMATE 2016" xfId="121" xr:uid="{00000000-0005-0000-0000-000048000000}"/>
    <cellStyle name="_GOITHAUSO2" xfId="122" xr:uid="{00000000-0005-0000-0000-000049000000}"/>
    <cellStyle name="_GOITHAUSO3" xfId="123" xr:uid="{00000000-0005-0000-0000-00004A000000}"/>
    <cellStyle name="_GOITHAUSO4" xfId="124" xr:uid="{00000000-0005-0000-0000-00004B000000}"/>
    <cellStyle name="_HaHoa_TDT_DienCSang" xfId="125" xr:uid="{00000000-0005-0000-0000-00004C000000}"/>
    <cellStyle name="_HaHoa19-5-07" xfId="126" xr:uid="{00000000-0005-0000-0000-00004D000000}"/>
    <cellStyle name="_IN" xfId="127" xr:uid="{00000000-0005-0000-0000-00004E000000}"/>
    <cellStyle name="_IN_131114- Bieu giao du toan CTMTQG 2014 giao" xfId="128" xr:uid="{00000000-0005-0000-0000-00004F000000}"/>
    <cellStyle name="_Kh ql62 (2010) 11-09" xfId="129" xr:uid="{00000000-0005-0000-0000-000004010000}"/>
    <cellStyle name="_Khung 2012" xfId="130" xr:uid="{00000000-0005-0000-0000-000005010000}"/>
    <cellStyle name="_KT (2)" xfId="131" xr:uid="{00000000-0005-0000-0000-000050000000}"/>
    <cellStyle name="_KT (2)_1" xfId="132" xr:uid="{00000000-0005-0000-0000-000051000000}"/>
    <cellStyle name="_KT (2)_1_CTMTQG 2015" xfId="133" xr:uid="{00000000-0005-0000-0000-000052000000}"/>
    <cellStyle name="_KT (2)_1_Lora-tungchau" xfId="134" xr:uid="{00000000-0005-0000-0000-000053000000}"/>
    <cellStyle name="_KT (2)_1_Qt-HT3PQ1(CauKho)" xfId="135" xr:uid="{00000000-0005-0000-0000-000054000000}"/>
    <cellStyle name="_KT (2)_2" xfId="136" xr:uid="{00000000-0005-0000-0000-000055000000}"/>
    <cellStyle name="_KT (2)_2_TG-TH" xfId="137" xr:uid="{00000000-0005-0000-0000-000056000000}"/>
    <cellStyle name="_KT (2)_2_TG-TH_ApGiaVatTu_cayxanh_latgach" xfId="138" xr:uid="{00000000-0005-0000-0000-000057000000}"/>
    <cellStyle name="_KT (2)_2_TG-TH_BANG TONG HOP TINH HINH THANH QUYET TOAN (MOI I)" xfId="139" xr:uid="{00000000-0005-0000-0000-000058000000}"/>
    <cellStyle name="_KT (2)_2_TG-TH_BAO GIA NGAY 24-10-08 (co dam)" xfId="140" xr:uid="{00000000-0005-0000-0000-000059000000}"/>
    <cellStyle name="_KT (2)_2_TG-TH_BC CV 6403 BKHĐT" xfId="141" xr:uid="{00000000-0005-0000-0000-00005A000000}"/>
    <cellStyle name="_KT (2)_2_TG-TH_BC NQ11-CP - chinh sua lai" xfId="142" xr:uid="{00000000-0005-0000-0000-00005B000000}"/>
    <cellStyle name="_KT (2)_2_TG-TH_BC NQ11-CP-Quynh sau bieu so3" xfId="143" xr:uid="{00000000-0005-0000-0000-00005C000000}"/>
    <cellStyle name="_KT (2)_2_TG-TH_BC_NQ11-CP_-_Thao_sua_lai" xfId="144" xr:uid="{00000000-0005-0000-0000-00005D000000}"/>
    <cellStyle name="_KT (2)_2_TG-TH_Book1" xfId="145" xr:uid="{00000000-0005-0000-0000-00005E000000}"/>
    <cellStyle name="_KT (2)_2_TG-TH_Book1_1" xfId="146" xr:uid="{00000000-0005-0000-0000-00005F000000}"/>
    <cellStyle name="_KT (2)_2_TG-TH_Book1_1_BC CV 6403 BKHĐT" xfId="147" xr:uid="{00000000-0005-0000-0000-000060000000}"/>
    <cellStyle name="_KT (2)_2_TG-TH_Book1_1_Luy ke von ung nam 2011 -Thoa gui ngay 12-8-2012" xfId="148" xr:uid="{00000000-0005-0000-0000-000061000000}"/>
    <cellStyle name="_KT (2)_2_TG-TH_Book1_2" xfId="149" xr:uid="{00000000-0005-0000-0000-000062000000}"/>
    <cellStyle name="_KT (2)_2_TG-TH_Book1_2_BC CV 6403 BKHĐT" xfId="150" xr:uid="{00000000-0005-0000-0000-000063000000}"/>
    <cellStyle name="_KT (2)_2_TG-TH_Book1_2_Luy ke von ung nam 2011 -Thoa gui ngay 12-8-2012" xfId="151" xr:uid="{00000000-0005-0000-0000-000064000000}"/>
    <cellStyle name="_KT (2)_2_TG-TH_Book1_BC CV 6403 BKHĐT" xfId="152" xr:uid="{00000000-0005-0000-0000-000065000000}"/>
    <cellStyle name="_KT (2)_2_TG-TH_Book1_Luy ke von ung nam 2011 -Thoa gui ngay 12-8-2012" xfId="153" xr:uid="{00000000-0005-0000-0000-000066000000}"/>
    <cellStyle name="_KT (2)_2_TG-TH_CAU Khanh Nam(Thi Cong)" xfId="154" xr:uid="{00000000-0005-0000-0000-000067000000}"/>
    <cellStyle name="_KT (2)_2_TG-TH_ChiHuong_ApGia" xfId="155" xr:uid="{00000000-0005-0000-0000-00006A000000}"/>
    <cellStyle name="_KT (2)_2_TG-TH_CoCauPhi (version 1)" xfId="156" xr:uid="{00000000-0005-0000-0000-000068000000}"/>
    <cellStyle name="_KT (2)_2_TG-TH_CTMTQG 2015" xfId="157" xr:uid="{00000000-0005-0000-0000-000069000000}"/>
    <cellStyle name="_KT (2)_2_TG-TH_DAU NOI PL-CL TAI PHU LAMHC" xfId="158" xr:uid="{00000000-0005-0000-0000-00006B000000}"/>
    <cellStyle name="_KT (2)_2_TG-TH_DU TRU VAT TU" xfId="159" xr:uid="{00000000-0005-0000-0000-00006C000000}"/>
    <cellStyle name="_KT (2)_2_TG-TH_Lora-tungchau" xfId="160" xr:uid="{00000000-0005-0000-0000-00006D000000}"/>
    <cellStyle name="_KT (2)_2_TG-TH_Luy ke von ung nam 2011 -Thoa gui ngay 12-8-2012" xfId="161" xr:uid="{00000000-0005-0000-0000-00006E000000}"/>
    <cellStyle name="_KT (2)_2_TG-TH_NhanCong" xfId="162" xr:uid="{00000000-0005-0000-0000-00006F000000}"/>
    <cellStyle name="_KT (2)_2_TG-TH_phu luc tong ket tinh hinh TH giai doan 03-10 (ngay 30)" xfId="163" xr:uid="{00000000-0005-0000-0000-000070000000}"/>
    <cellStyle name="_KT (2)_2_TG-TH_Qt-HT3PQ1(CauKho)" xfId="164" xr:uid="{00000000-0005-0000-0000-000071000000}"/>
    <cellStyle name="_KT (2)_2_TG-TH_Sheet1" xfId="165" xr:uid="{00000000-0005-0000-0000-000072000000}"/>
    <cellStyle name="_KT (2)_2_TG-TH_ÿÿÿÿÿ" xfId="166" xr:uid="{00000000-0005-0000-0000-000073000000}"/>
    <cellStyle name="_KT (2)_3" xfId="167" xr:uid="{00000000-0005-0000-0000-000074000000}"/>
    <cellStyle name="_KT (2)_3_TG-TH" xfId="168" xr:uid="{00000000-0005-0000-0000-000075000000}"/>
    <cellStyle name="_KT (2)_3_TG-TH_CTMTQG 2015" xfId="169" xr:uid="{00000000-0005-0000-0000-000076000000}"/>
    <cellStyle name="_KT (2)_3_TG-TH_Lora-tungchau" xfId="170" xr:uid="{00000000-0005-0000-0000-000077000000}"/>
    <cellStyle name="_KT (2)_3_TG-TH_PERSONAL" xfId="171" xr:uid="{00000000-0005-0000-0000-000078000000}"/>
    <cellStyle name="_KT (2)_3_TG-TH_PERSONAL_BC CV 6403 BKHĐT" xfId="172" xr:uid="{00000000-0005-0000-0000-000079000000}"/>
    <cellStyle name="_KT (2)_3_TG-TH_PERSONAL_Book1" xfId="173" xr:uid="{00000000-0005-0000-0000-00007A000000}"/>
    <cellStyle name="_KT (2)_3_TG-TH_PERSONAL_Luy ke von ung nam 2011 -Thoa gui ngay 12-8-2012" xfId="174" xr:uid="{00000000-0005-0000-0000-00007B000000}"/>
    <cellStyle name="_KT (2)_3_TG-TH_PERSONAL_Tong hop KHCB 2001" xfId="175" xr:uid="{00000000-0005-0000-0000-00007C000000}"/>
    <cellStyle name="_KT (2)_3_TG-TH_Qt-HT3PQ1(CauKho)" xfId="176" xr:uid="{00000000-0005-0000-0000-00007D000000}"/>
    <cellStyle name="_KT (2)_4" xfId="177" xr:uid="{00000000-0005-0000-0000-00007E000000}"/>
    <cellStyle name="_KT (2)_4_ApGiaVatTu_cayxanh_latgach" xfId="178" xr:uid="{00000000-0005-0000-0000-00007F000000}"/>
    <cellStyle name="_KT (2)_4_BANG TONG HOP TINH HINH THANH QUYET TOAN (MOI I)" xfId="179" xr:uid="{00000000-0005-0000-0000-000080000000}"/>
    <cellStyle name="_KT (2)_4_BAO GIA NGAY 24-10-08 (co dam)" xfId="180" xr:uid="{00000000-0005-0000-0000-000081000000}"/>
    <cellStyle name="_KT (2)_4_BC CV 6403 BKHĐT" xfId="181" xr:uid="{00000000-0005-0000-0000-000082000000}"/>
    <cellStyle name="_KT (2)_4_BC NQ11-CP - chinh sua lai" xfId="182" xr:uid="{00000000-0005-0000-0000-000083000000}"/>
    <cellStyle name="_KT (2)_4_BC NQ11-CP-Quynh sau bieu so3" xfId="183" xr:uid="{00000000-0005-0000-0000-000084000000}"/>
    <cellStyle name="_KT (2)_4_BC_NQ11-CP_-_Thao_sua_lai" xfId="184" xr:uid="{00000000-0005-0000-0000-000085000000}"/>
    <cellStyle name="_KT (2)_4_Book1" xfId="185" xr:uid="{00000000-0005-0000-0000-000086000000}"/>
    <cellStyle name="_KT (2)_4_Book1_1" xfId="186" xr:uid="{00000000-0005-0000-0000-000087000000}"/>
    <cellStyle name="_KT (2)_4_Book1_1_BC CV 6403 BKHĐT" xfId="187" xr:uid="{00000000-0005-0000-0000-000088000000}"/>
    <cellStyle name="_KT (2)_4_Book1_1_Luy ke von ung nam 2011 -Thoa gui ngay 12-8-2012" xfId="188" xr:uid="{00000000-0005-0000-0000-000089000000}"/>
    <cellStyle name="_KT (2)_4_Book1_2" xfId="189" xr:uid="{00000000-0005-0000-0000-00008A000000}"/>
    <cellStyle name="_KT (2)_4_Book1_2_BC CV 6403 BKHĐT" xfId="190" xr:uid="{00000000-0005-0000-0000-00008B000000}"/>
    <cellStyle name="_KT (2)_4_Book1_2_Luy ke von ung nam 2011 -Thoa gui ngay 12-8-2012" xfId="191" xr:uid="{00000000-0005-0000-0000-00008C000000}"/>
    <cellStyle name="_KT (2)_4_Book1_BC CV 6403 BKHĐT" xfId="192" xr:uid="{00000000-0005-0000-0000-00008D000000}"/>
    <cellStyle name="_KT (2)_4_Book1_Luy ke von ung nam 2011 -Thoa gui ngay 12-8-2012" xfId="193" xr:uid="{00000000-0005-0000-0000-00008E000000}"/>
    <cellStyle name="_KT (2)_4_CAU Khanh Nam(Thi Cong)" xfId="194" xr:uid="{00000000-0005-0000-0000-00008F000000}"/>
    <cellStyle name="_KT (2)_4_ChiHuong_ApGia" xfId="195" xr:uid="{00000000-0005-0000-0000-000092000000}"/>
    <cellStyle name="_KT (2)_4_CoCauPhi (version 1)" xfId="196" xr:uid="{00000000-0005-0000-0000-000090000000}"/>
    <cellStyle name="_KT (2)_4_CTMTQG 2015" xfId="197" xr:uid="{00000000-0005-0000-0000-000091000000}"/>
    <cellStyle name="_KT (2)_4_DAU NOI PL-CL TAI PHU LAMHC" xfId="198" xr:uid="{00000000-0005-0000-0000-000093000000}"/>
    <cellStyle name="_KT (2)_4_DU TRU VAT TU" xfId="199" xr:uid="{00000000-0005-0000-0000-000094000000}"/>
    <cellStyle name="_KT (2)_4_Lora-tungchau" xfId="200" xr:uid="{00000000-0005-0000-0000-000095000000}"/>
    <cellStyle name="_KT (2)_4_Luy ke von ung nam 2011 -Thoa gui ngay 12-8-2012" xfId="201" xr:uid="{00000000-0005-0000-0000-000096000000}"/>
    <cellStyle name="_KT (2)_4_NhanCong" xfId="202" xr:uid="{00000000-0005-0000-0000-000097000000}"/>
    <cellStyle name="_KT (2)_4_phu luc tong ket tinh hinh TH giai doan 03-10 (ngay 30)" xfId="203" xr:uid="{00000000-0005-0000-0000-000098000000}"/>
    <cellStyle name="_KT (2)_4_Qt-HT3PQ1(CauKho)" xfId="204" xr:uid="{00000000-0005-0000-0000-000099000000}"/>
    <cellStyle name="_KT (2)_4_Sheet1" xfId="205" xr:uid="{00000000-0005-0000-0000-00009A000000}"/>
    <cellStyle name="_KT (2)_4_TG-TH" xfId="206" xr:uid="{00000000-0005-0000-0000-00009B000000}"/>
    <cellStyle name="_KT (2)_4_ÿÿÿÿÿ" xfId="207" xr:uid="{00000000-0005-0000-0000-00009C000000}"/>
    <cellStyle name="_KT (2)_5" xfId="208" xr:uid="{00000000-0005-0000-0000-00009D000000}"/>
    <cellStyle name="_KT (2)_5_ApGiaVatTu_cayxanh_latgach" xfId="209" xr:uid="{00000000-0005-0000-0000-00009E000000}"/>
    <cellStyle name="_KT (2)_5_BANG TONG HOP TINH HINH THANH QUYET TOAN (MOI I)" xfId="210" xr:uid="{00000000-0005-0000-0000-00009F000000}"/>
    <cellStyle name="_KT (2)_5_BAO GIA NGAY 24-10-08 (co dam)" xfId="211" xr:uid="{00000000-0005-0000-0000-0000A0000000}"/>
    <cellStyle name="_KT (2)_5_BC CV 6403 BKHĐT" xfId="212" xr:uid="{00000000-0005-0000-0000-0000A1000000}"/>
    <cellStyle name="_KT (2)_5_BC NQ11-CP - chinh sua lai" xfId="213" xr:uid="{00000000-0005-0000-0000-0000A2000000}"/>
    <cellStyle name="_KT (2)_5_BC NQ11-CP-Quynh sau bieu so3" xfId="214" xr:uid="{00000000-0005-0000-0000-0000A3000000}"/>
    <cellStyle name="_KT (2)_5_BC_NQ11-CP_-_Thao_sua_lai" xfId="215" xr:uid="{00000000-0005-0000-0000-0000A4000000}"/>
    <cellStyle name="_KT (2)_5_Book1" xfId="216" xr:uid="{00000000-0005-0000-0000-0000A5000000}"/>
    <cellStyle name="_KT (2)_5_Book1_1" xfId="217" xr:uid="{00000000-0005-0000-0000-0000A6000000}"/>
    <cellStyle name="_KT (2)_5_Book1_1_BC CV 6403 BKHĐT" xfId="218" xr:uid="{00000000-0005-0000-0000-0000A7000000}"/>
    <cellStyle name="_KT (2)_5_Book1_1_Luy ke von ung nam 2011 -Thoa gui ngay 12-8-2012" xfId="219" xr:uid="{00000000-0005-0000-0000-0000A8000000}"/>
    <cellStyle name="_KT (2)_5_Book1_2" xfId="220" xr:uid="{00000000-0005-0000-0000-0000A9000000}"/>
    <cellStyle name="_KT (2)_5_Book1_2_BC CV 6403 BKHĐT" xfId="221" xr:uid="{00000000-0005-0000-0000-0000AA000000}"/>
    <cellStyle name="_KT (2)_5_Book1_2_Luy ke von ung nam 2011 -Thoa gui ngay 12-8-2012" xfId="222" xr:uid="{00000000-0005-0000-0000-0000AB000000}"/>
    <cellStyle name="_KT (2)_5_Book1_BC CV 6403 BKHĐT" xfId="223" xr:uid="{00000000-0005-0000-0000-0000AC000000}"/>
    <cellStyle name="_KT (2)_5_Book1_Luy ke von ung nam 2011 -Thoa gui ngay 12-8-2012" xfId="224" xr:uid="{00000000-0005-0000-0000-0000AD000000}"/>
    <cellStyle name="_KT (2)_5_CAU Khanh Nam(Thi Cong)" xfId="225" xr:uid="{00000000-0005-0000-0000-0000AE000000}"/>
    <cellStyle name="_KT (2)_5_ChiHuong_ApGia" xfId="226" xr:uid="{00000000-0005-0000-0000-0000B0000000}"/>
    <cellStyle name="_KT (2)_5_CoCauPhi (version 1)" xfId="227" xr:uid="{00000000-0005-0000-0000-0000AF000000}"/>
    <cellStyle name="_KT (2)_5_DAU NOI PL-CL TAI PHU LAMHC" xfId="228" xr:uid="{00000000-0005-0000-0000-0000B1000000}"/>
    <cellStyle name="_KT (2)_5_DU TRU VAT TU" xfId="229" xr:uid="{00000000-0005-0000-0000-0000B2000000}"/>
    <cellStyle name="_KT (2)_5_Lora-tungchau" xfId="230" xr:uid="{00000000-0005-0000-0000-0000B3000000}"/>
    <cellStyle name="_KT (2)_5_Luy ke von ung nam 2011 -Thoa gui ngay 12-8-2012" xfId="231" xr:uid="{00000000-0005-0000-0000-0000B4000000}"/>
    <cellStyle name="_KT (2)_5_NhanCong" xfId="232" xr:uid="{00000000-0005-0000-0000-0000B5000000}"/>
    <cellStyle name="_KT (2)_5_phu luc tong ket tinh hinh TH giai doan 03-10 (ngay 30)" xfId="233" xr:uid="{00000000-0005-0000-0000-0000B6000000}"/>
    <cellStyle name="_KT (2)_5_Qt-HT3PQ1(CauKho)" xfId="234" xr:uid="{00000000-0005-0000-0000-0000B7000000}"/>
    <cellStyle name="_KT (2)_5_Sheet1" xfId="235" xr:uid="{00000000-0005-0000-0000-0000B8000000}"/>
    <cellStyle name="_KT (2)_5_ÿÿÿÿÿ" xfId="236" xr:uid="{00000000-0005-0000-0000-0000B9000000}"/>
    <cellStyle name="_KT (2)_CTMTQG 2015" xfId="237" xr:uid="{00000000-0005-0000-0000-0000BA000000}"/>
    <cellStyle name="_KT (2)_Lora-tungchau" xfId="238" xr:uid="{00000000-0005-0000-0000-0000BB000000}"/>
    <cellStyle name="_KT (2)_PERSONAL" xfId="239" xr:uid="{00000000-0005-0000-0000-0000BC000000}"/>
    <cellStyle name="_KT (2)_PERSONAL_BC CV 6403 BKHĐT" xfId="240" xr:uid="{00000000-0005-0000-0000-0000BD000000}"/>
    <cellStyle name="_KT (2)_PERSONAL_Book1" xfId="241" xr:uid="{00000000-0005-0000-0000-0000BE000000}"/>
    <cellStyle name="_KT (2)_PERSONAL_Luy ke von ung nam 2011 -Thoa gui ngay 12-8-2012" xfId="242" xr:uid="{00000000-0005-0000-0000-0000BF000000}"/>
    <cellStyle name="_KT (2)_PERSONAL_Tong hop KHCB 2001" xfId="243" xr:uid="{00000000-0005-0000-0000-0000C0000000}"/>
    <cellStyle name="_KT (2)_Qt-HT3PQ1(CauKho)" xfId="244" xr:uid="{00000000-0005-0000-0000-0000C1000000}"/>
    <cellStyle name="_KT (2)_TG-TH" xfId="245" xr:uid="{00000000-0005-0000-0000-0000C2000000}"/>
    <cellStyle name="_KT_TG" xfId="246" xr:uid="{00000000-0005-0000-0000-0000C3000000}"/>
    <cellStyle name="_KT_TG_1" xfId="247" xr:uid="{00000000-0005-0000-0000-0000C4000000}"/>
    <cellStyle name="_KT_TG_1_ApGiaVatTu_cayxanh_latgach" xfId="248" xr:uid="{00000000-0005-0000-0000-0000C5000000}"/>
    <cellStyle name="_KT_TG_1_BANG TONG HOP TINH HINH THANH QUYET TOAN (MOI I)" xfId="249" xr:uid="{00000000-0005-0000-0000-0000C6000000}"/>
    <cellStyle name="_KT_TG_1_BAO GIA NGAY 24-10-08 (co dam)" xfId="250" xr:uid="{00000000-0005-0000-0000-0000C7000000}"/>
    <cellStyle name="_KT_TG_1_BC CV 6403 BKHĐT" xfId="251" xr:uid="{00000000-0005-0000-0000-0000C8000000}"/>
    <cellStyle name="_KT_TG_1_BC NQ11-CP - chinh sua lai" xfId="252" xr:uid="{00000000-0005-0000-0000-0000C9000000}"/>
    <cellStyle name="_KT_TG_1_BC NQ11-CP-Quynh sau bieu so3" xfId="253" xr:uid="{00000000-0005-0000-0000-0000CA000000}"/>
    <cellStyle name="_KT_TG_1_BC_NQ11-CP_-_Thao_sua_lai" xfId="254" xr:uid="{00000000-0005-0000-0000-0000CB000000}"/>
    <cellStyle name="_KT_TG_1_Book1" xfId="255" xr:uid="{00000000-0005-0000-0000-0000CC000000}"/>
    <cellStyle name="_KT_TG_1_Book1_1" xfId="256" xr:uid="{00000000-0005-0000-0000-0000CD000000}"/>
    <cellStyle name="_KT_TG_1_Book1_1_BC CV 6403 BKHĐT" xfId="257" xr:uid="{00000000-0005-0000-0000-0000CE000000}"/>
    <cellStyle name="_KT_TG_1_Book1_1_Luy ke von ung nam 2011 -Thoa gui ngay 12-8-2012" xfId="258" xr:uid="{00000000-0005-0000-0000-0000CF000000}"/>
    <cellStyle name="_KT_TG_1_Book1_2" xfId="259" xr:uid="{00000000-0005-0000-0000-0000D0000000}"/>
    <cellStyle name="_KT_TG_1_Book1_2_BC CV 6403 BKHĐT" xfId="260" xr:uid="{00000000-0005-0000-0000-0000D1000000}"/>
    <cellStyle name="_KT_TG_1_Book1_2_Luy ke von ung nam 2011 -Thoa gui ngay 12-8-2012" xfId="261" xr:uid="{00000000-0005-0000-0000-0000D2000000}"/>
    <cellStyle name="_KT_TG_1_Book1_BC CV 6403 BKHĐT" xfId="262" xr:uid="{00000000-0005-0000-0000-0000D3000000}"/>
    <cellStyle name="_KT_TG_1_Book1_Luy ke von ung nam 2011 -Thoa gui ngay 12-8-2012" xfId="263" xr:uid="{00000000-0005-0000-0000-0000D4000000}"/>
    <cellStyle name="_KT_TG_1_CAU Khanh Nam(Thi Cong)" xfId="264" xr:uid="{00000000-0005-0000-0000-0000D5000000}"/>
    <cellStyle name="_KT_TG_1_ChiHuong_ApGia" xfId="265" xr:uid="{00000000-0005-0000-0000-0000D7000000}"/>
    <cellStyle name="_KT_TG_1_CoCauPhi (version 1)" xfId="266" xr:uid="{00000000-0005-0000-0000-0000D6000000}"/>
    <cellStyle name="_KT_TG_1_DAU NOI PL-CL TAI PHU LAMHC" xfId="267" xr:uid="{00000000-0005-0000-0000-0000D8000000}"/>
    <cellStyle name="_KT_TG_1_DU TRU VAT TU" xfId="268" xr:uid="{00000000-0005-0000-0000-0000D9000000}"/>
    <cellStyle name="_KT_TG_1_Lora-tungchau" xfId="269" xr:uid="{00000000-0005-0000-0000-0000DA000000}"/>
    <cellStyle name="_KT_TG_1_Luy ke von ung nam 2011 -Thoa gui ngay 12-8-2012" xfId="270" xr:uid="{00000000-0005-0000-0000-0000DB000000}"/>
    <cellStyle name="_KT_TG_1_NhanCong" xfId="271" xr:uid="{00000000-0005-0000-0000-0000DC000000}"/>
    <cellStyle name="_KT_TG_1_phu luc tong ket tinh hinh TH giai doan 03-10 (ngay 30)" xfId="272" xr:uid="{00000000-0005-0000-0000-0000DD000000}"/>
    <cellStyle name="_KT_TG_1_Qt-HT3PQ1(CauKho)" xfId="273" xr:uid="{00000000-0005-0000-0000-0000DE000000}"/>
    <cellStyle name="_KT_TG_1_Sheet1" xfId="274" xr:uid="{00000000-0005-0000-0000-0000DF000000}"/>
    <cellStyle name="_KT_TG_1_ÿÿÿÿÿ" xfId="275" xr:uid="{00000000-0005-0000-0000-0000E0000000}"/>
    <cellStyle name="_KT_TG_2" xfId="276" xr:uid="{00000000-0005-0000-0000-0000E1000000}"/>
    <cellStyle name="_KT_TG_2_ApGiaVatTu_cayxanh_latgach" xfId="277" xr:uid="{00000000-0005-0000-0000-0000E2000000}"/>
    <cellStyle name="_KT_TG_2_BANG TONG HOP TINH HINH THANH QUYET TOAN (MOI I)" xfId="278" xr:uid="{00000000-0005-0000-0000-0000E3000000}"/>
    <cellStyle name="_KT_TG_2_BAO GIA NGAY 24-10-08 (co dam)" xfId="279" xr:uid="{00000000-0005-0000-0000-0000E4000000}"/>
    <cellStyle name="_KT_TG_2_BC CV 6403 BKHĐT" xfId="280" xr:uid="{00000000-0005-0000-0000-0000E5000000}"/>
    <cellStyle name="_KT_TG_2_BC NQ11-CP - chinh sua lai" xfId="281" xr:uid="{00000000-0005-0000-0000-0000E6000000}"/>
    <cellStyle name="_KT_TG_2_BC NQ11-CP-Quynh sau bieu so3" xfId="282" xr:uid="{00000000-0005-0000-0000-0000E7000000}"/>
    <cellStyle name="_KT_TG_2_BC_NQ11-CP_-_Thao_sua_lai" xfId="283" xr:uid="{00000000-0005-0000-0000-0000E8000000}"/>
    <cellStyle name="_KT_TG_2_Book1" xfId="284" xr:uid="{00000000-0005-0000-0000-0000E9000000}"/>
    <cellStyle name="_KT_TG_2_Book1_1" xfId="285" xr:uid="{00000000-0005-0000-0000-0000EA000000}"/>
    <cellStyle name="_KT_TG_2_Book1_1_BC CV 6403 BKHĐT" xfId="286" xr:uid="{00000000-0005-0000-0000-0000EB000000}"/>
    <cellStyle name="_KT_TG_2_Book1_1_Luy ke von ung nam 2011 -Thoa gui ngay 12-8-2012" xfId="287" xr:uid="{00000000-0005-0000-0000-0000EC000000}"/>
    <cellStyle name="_KT_TG_2_Book1_2" xfId="288" xr:uid="{00000000-0005-0000-0000-0000ED000000}"/>
    <cellStyle name="_KT_TG_2_Book1_2_BC CV 6403 BKHĐT" xfId="289" xr:uid="{00000000-0005-0000-0000-0000EE000000}"/>
    <cellStyle name="_KT_TG_2_Book1_2_Luy ke von ung nam 2011 -Thoa gui ngay 12-8-2012" xfId="290" xr:uid="{00000000-0005-0000-0000-0000EF000000}"/>
    <cellStyle name="_KT_TG_2_Book1_BC CV 6403 BKHĐT" xfId="291" xr:uid="{00000000-0005-0000-0000-0000F0000000}"/>
    <cellStyle name="_KT_TG_2_Book1_Luy ke von ung nam 2011 -Thoa gui ngay 12-8-2012" xfId="292" xr:uid="{00000000-0005-0000-0000-0000F1000000}"/>
    <cellStyle name="_KT_TG_2_CAU Khanh Nam(Thi Cong)" xfId="293" xr:uid="{00000000-0005-0000-0000-0000F2000000}"/>
    <cellStyle name="_KT_TG_2_ChiHuong_ApGia" xfId="294" xr:uid="{00000000-0005-0000-0000-0000F5000000}"/>
    <cellStyle name="_KT_TG_2_CoCauPhi (version 1)" xfId="295" xr:uid="{00000000-0005-0000-0000-0000F3000000}"/>
    <cellStyle name="_KT_TG_2_CTMTQG 2015" xfId="296" xr:uid="{00000000-0005-0000-0000-0000F4000000}"/>
    <cellStyle name="_KT_TG_2_DAU NOI PL-CL TAI PHU LAMHC" xfId="297" xr:uid="{00000000-0005-0000-0000-0000F6000000}"/>
    <cellStyle name="_KT_TG_2_DU TRU VAT TU" xfId="298" xr:uid="{00000000-0005-0000-0000-0000F7000000}"/>
    <cellStyle name="_KT_TG_2_Lora-tungchau" xfId="299" xr:uid="{00000000-0005-0000-0000-0000F8000000}"/>
    <cellStyle name="_KT_TG_2_Luy ke von ung nam 2011 -Thoa gui ngay 12-8-2012" xfId="300" xr:uid="{00000000-0005-0000-0000-0000F9000000}"/>
    <cellStyle name="_KT_TG_2_NhanCong" xfId="301" xr:uid="{00000000-0005-0000-0000-0000FA000000}"/>
    <cellStyle name="_KT_TG_2_phu luc tong ket tinh hinh TH giai doan 03-10 (ngay 30)" xfId="302" xr:uid="{00000000-0005-0000-0000-0000FB000000}"/>
    <cellStyle name="_KT_TG_2_Qt-HT3PQ1(CauKho)" xfId="303" xr:uid="{00000000-0005-0000-0000-0000FC000000}"/>
    <cellStyle name="_KT_TG_2_Sheet1" xfId="304" xr:uid="{00000000-0005-0000-0000-0000FD000000}"/>
    <cellStyle name="_KT_TG_2_ÿÿÿÿÿ" xfId="305" xr:uid="{00000000-0005-0000-0000-0000FE000000}"/>
    <cellStyle name="_KT_TG_3" xfId="306" xr:uid="{00000000-0005-0000-0000-0000FF000000}"/>
    <cellStyle name="_KT_TG_4" xfId="307" xr:uid="{00000000-0005-0000-0000-000000010000}"/>
    <cellStyle name="_KT_TG_4_CTMTQG 2015" xfId="308" xr:uid="{00000000-0005-0000-0000-000001010000}"/>
    <cellStyle name="_KT_TG_4_Lora-tungchau" xfId="309" xr:uid="{00000000-0005-0000-0000-000002010000}"/>
    <cellStyle name="_KT_TG_4_Qt-HT3PQ1(CauKho)" xfId="310" xr:uid="{00000000-0005-0000-0000-000003010000}"/>
    <cellStyle name="_Lora-tungchau" xfId="311" xr:uid="{00000000-0005-0000-0000-000006010000}"/>
    <cellStyle name="_Luy ke von ung nam 2011 -Thoa gui ngay 12-8-2012" xfId="312" xr:uid="{00000000-0005-0000-0000-000007010000}"/>
    <cellStyle name="_mau so 3" xfId="313" xr:uid="{00000000-0005-0000-0000-000008010000}"/>
    <cellStyle name="_MauThanTKKT-goi7-DonGia2143(vl t7)" xfId="314" xr:uid="{00000000-0005-0000-0000-000009010000}"/>
    <cellStyle name="_MauThanTKKT-goi7-DonGia2143(vl t7)_131114- Bieu giao du toan CTMTQG 2014 giao" xfId="315" xr:uid="{00000000-0005-0000-0000-00000A010000}"/>
    <cellStyle name="_Nhu cau von ung truoc 2011 Tha h Hoa + Nge An gui TW" xfId="316" xr:uid="{00000000-0005-0000-0000-00000B010000}"/>
    <cellStyle name="_Nhu cau von ung truoc 2011 Tha h Hoa + Nge An gui TW_131114- Bieu giao du toan CTMTQG 2014 giao" xfId="317" xr:uid="{00000000-0005-0000-0000-00000C010000}"/>
    <cellStyle name="_PERSONAL" xfId="318" xr:uid="{00000000-0005-0000-0000-00000D010000}"/>
    <cellStyle name="_PERSONAL_BC CV 6403 BKHĐT" xfId="319" xr:uid="{00000000-0005-0000-0000-00000E010000}"/>
    <cellStyle name="_PERSONAL_Book1" xfId="320" xr:uid="{00000000-0005-0000-0000-00000F010000}"/>
    <cellStyle name="_PERSONAL_Luy ke von ung nam 2011 -Thoa gui ngay 12-8-2012" xfId="321" xr:uid="{00000000-0005-0000-0000-000010010000}"/>
    <cellStyle name="_PERSONAL_Tong hop KHCB 2001" xfId="322" xr:uid="{00000000-0005-0000-0000-000011010000}"/>
    <cellStyle name="_phong bo mon22" xfId="323" xr:uid="{00000000-0005-0000-0000-000012010000}"/>
    <cellStyle name="_phong bo mon22_131114- Bieu giao du toan CTMTQG 2014 giao" xfId="324" xr:uid="{00000000-0005-0000-0000-000013010000}"/>
    <cellStyle name="_Phu luc kem BC gui VP Bo (18.2)" xfId="325" xr:uid="{00000000-0005-0000-0000-000014010000}"/>
    <cellStyle name="_phu luc tong ket tinh hinh TH giai doan 03-10 (ngay 30)" xfId="326" xr:uid="{00000000-0005-0000-0000-000015010000}"/>
    <cellStyle name="_Q TOAN  SCTX QL.62 QUI I ( oanh)" xfId="327" xr:uid="{00000000-0005-0000-0000-000016010000}"/>
    <cellStyle name="_Q TOAN  SCTX QL.62 QUI II ( oanh)" xfId="328" xr:uid="{00000000-0005-0000-0000-000017010000}"/>
    <cellStyle name="_QT SCTXQL62_QT1 (Cty QL)" xfId="329" xr:uid="{00000000-0005-0000-0000-000018010000}"/>
    <cellStyle name="_Qt-HT3PQ1(CauKho)" xfId="330" xr:uid="{00000000-0005-0000-0000-000019010000}"/>
    <cellStyle name="_REV 2014" xfId="331" xr:uid="{00000000-0005-0000-0000-00001A010000}"/>
    <cellStyle name="_Sheet1" xfId="332" xr:uid="{00000000-0005-0000-0000-00001B010000}"/>
    <cellStyle name="_Sheet2" xfId="333" xr:uid="{00000000-0005-0000-0000-00001C010000}"/>
    <cellStyle name="_TG-TH" xfId="334" xr:uid="{00000000-0005-0000-0000-00001D010000}"/>
    <cellStyle name="_TG-TH_1" xfId="335" xr:uid="{00000000-0005-0000-0000-00001E010000}"/>
    <cellStyle name="_TG-TH_1_ApGiaVatTu_cayxanh_latgach" xfId="336" xr:uid="{00000000-0005-0000-0000-00001F010000}"/>
    <cellStyle name="_TG-TH_1_BANG TONG HOP TINH HINH THANH QUYET TOAN (MOI I)" xfId="337" xr:uid="{00000000-0005-0000-0000-000020010000}"/>
    <cellStyle name="_TG-TH_1_BAO GIA NGAY 24-10-08 (co dam)" xfId="338" xr:uid="{00000000-0005-0000-0000-000021010000}"/>
    <cellStyle name="_TG-TH_1_BC CV 6403 BKHĐT" xfId="339" xr:uid="{00000000-0005-0000-0000-000022010000}"/>
    <cellStyle name="_TG-TH_1_BC NQ11-CP - chinh sua lai" xfId="340" xr:uid="{00000000-0005-0000-0000-000023010000}"/>
    <cellStyle name="_TG-TH_1_BC NQ11-CP-Quynh sau bieu so3" xfId="341" xr:uid="{00000000-0005-0000-0000-000024010000}"/>
    <cellStyle name="_TG-TH_1_BC_NQ11-CP_-_Thao_sua_lai" xfId="342" xr:uid="{00000000-0005-0000-0000-000025010000}"/>
    <cellStyle name="_TG-TH_1_Book1" xfId="343" xr:uid="{00000000-0005-0000-0000-000026010000}"/>
    <cellStyle name="_TG-TH_1_Book1_1" xfId="344" xr:uid="{00000000-0005-0000-0000-000027010000}"/>
    <cellStyle name="_TG-TH_1_Book1_1_BC CV 6403 BKHĐT" xfId="345" xr:uid="{00000000-0005-0000-0000-000028010000}"/>
    <cellStyle name="_TG-TH_1_Book1_1_Luy ke von ung nam 2011 -Thoa gui ngay 12-8-2012" xfId="346" xr:uid="{00000000-0005-0000-0000-000029010000}"/>
    <cellStyle name="_TG-TH_1_Book1_2" xfId="347" xr:uid="{00000000-0005-0000-0000-00002A010000}"/>
    <cellStyle name="_TG-TH_1_Book1_2_BC CV 6403 BKHĐT" xfId="348" xr:uid="{00000000-0005-0000-0000-00002B010000}"/>
    <cellStyle name="_TG-TH_1_Book1_2_Luy ke von ung nam 2011 -Thoa gui ngay 12-8-2012" xfId="349" xr:uid="{00000000-0005-0000-0000-00002C010000}"/>
    <cellStyle name="_TG-TH_1_Book1_BC CV 6403 BKHĐT" xfId="350" xr:uid="{00000000-0005-0000-0000-00002D010000}"/>
    <cellStyle name="_TG-TH_1_Book1_Luy ke von ung nam 2011 -Thoa gui ngay 12-8-2012" xfId="351" xr:uid="{00000000-0005-0000-0000-00002E010000}"/>
    <cellStyle name="_TG-TH_1_CAU Khanh Nam(Thi Cong)" xfId="352" xr:uid="{00000000-0005-0000-0000-00002F010000}"/>
    <cellStyle name="_TG-TH_1_ChiHuong_ApGia" xfId="353" xr:uid="{00000000-0005-0000-0000-000031010000}"/>
    <cellStyle name="_TG-TH_1_CoCauPhi (version 1)" xfId="354" xr:uid="{00000000-0005-0000-0000-000030010000}"/>
    <cellStyle name="_TG-TH_1_DAU NOI PL-CL TAI PHU LAMHC" xfId="355" xr:uid="{00000000-0005-0000-0000-000032010000}"/>
    <cellStyle name="_TG-TH_1_DU TRU VAT TU" xfId="356" xr:uid="{00000000-0005-0000-0000-000033010000}"/>
    <cellStyle name="_TG-TH_1_Lora-tungchau" xfId="357" xr:uid="{00000000-0005-0000-0000-000034010000}"/>
    <cellStyle name="_TG-TH_1_Luy ke von ung nam 2011 -Thoa gui ngay 12-8-2012" xfId="358" xr:uid="{00000000-0005-0000-0000-000035010000}"/>
    <cellStyle name="_TG-TH_1_NhanCong" xfId="359" xr:uid="{00000000-0005-0000-0000-000036010000}"/>
    <cellStyle name="_TG-TH_1_phu luc tong ket tinh hinh TH giai doan 03-10 (ngay 30)" xfId="360" xr:uid="{00000000-0005-0000-0000-000037010000}"/>
    <cellStyle name="_TG-TH_1_Qt-HT3PQ1(CauKho)" xfId="361" xr:uid="{00000000-0005-0000-0000-000038010000}"/>
    <cellStyle name="_TG-TH_1_Sheet1" xfId="362" xr:uid="{00000000-0005-0000-0000-000039010000}"/>
    <cellStyle name="_TG-TH_1_ÿÿÿÿÿ" xfId="363" xr:uid="{00000000-0005-0000-0000-00003A010000}"/>
    <cellStyle name="_TG-TH_2" xfId="364" xr:uid="{00000000-0005-0000-0000-00003B010000}"/>
    <cellStyle name="_TG-TH_2_ApGiaVatTu_cayxanh_latgach" xfId="365" xr:uid="{00000000-0005-0000-0000-00003C010000}"/>
    <cellStyle name="_TG-TH_2_BANG TONG HOP TINH HINH THANH QUYET TOAN (MOI I)" xfId="366" xr:uid="{00000000-0005-0000-0000-00003D010000}"/>
    <cellStyle name="_TG-TH_2_BAO GIA NGAY 24-10-08 (co dam)" xfId="367" xr:uid="{00000000-0005-0000-0000-00003E010000}"/>
    <cellStyle name="_TG-TH_2_BC CV 6403 BKHĐT" xfId="368" xr:uid="{00000000-0005-0000-0000-00003F010000}"/>
    <cellStyle name="_TG-TH_2_BC NQ11-CP - chinh sua lai" xfId="369" xr:uid="{00000000-0005-0000-0000-000040010000}"/>
    <cellStyle name="_TG-TH_2_BC NQ11-CP-Quynh sau bieu so3" xfId="370" xr:uid="{00000000-0005-0000-0000-000041010000}"/>
    <cellStyle name="_TG-TH_2_BC_NQ11-CP_-_Thao_sua_lai" xfId="371" xr:uid="{00000000-0005-0000-0000-000042010000}"/>
    <cellStyle name="_TG-TH_2_Book1" xfId="372" xr:uid="{00000000-0005-0000-0000-000043010000}"/>
    <cellStyle name="_TG-TH_2_Book1_1" xfId="373" xr:uid="{00000000-0005-0000-0000-000044010000}"/>
    <cellStyle name="_TG-TH_2_Book1_1_BC CV 6403 BKHĐT" xfId="374" xr:uid="{00000000-0005-0000-0000-000045010000}"/>
    <cellStyle name="_TG-TH_2_Book1_1_Luy ke von ung nam 2011 -Thoa gui ngay 12-8-2012" xfId="375" xr:uid="{00000000-0005-0000-0000-000046010000}"/>
    <cellStyle name="_TG-TH_2_Book1_2" xfId="376" xr:uid="{00000000-0005-0000-0000-000047010000}"/>
    <cellStyle name="_TG-TH_2_Book1_2_BC CV 6403 BKHĐT" xfId="377" xr:uid="{00000000-0005-0000-0000-000048010000}"/>
    <cellStyle name="_TG-TH_2_Book1_2_Luy ke von ung nam 2011 -Thoa gui ngay 12-8-2012" xfId="378" xr:uid="{00000000-0005-0000-0000-000049010000}"/>
    <cellStyle name="_TG-TH_2_Book1_BC CV 6403 BKHĐT" xfId="379" xr:uid="{00000000-0005-0000-0000-00004A010000}"/>
    <cellStyle name="_TG-TH_2_Book1_Luy ke von ung nam 2011 -Thoa gui ngay 12-8-2012" xfId="380" xr:uid="{00000000-0005-0000-0000-00004B010000}"/>
    <cellStyle name="_TG-TH_2_CAU Khanh Nam(Thi Cong)" xfId="381" xr:uid="{00000000-0005-0000-0000-00004C010000}"/>
    <cellStyle name="_TG-TH_2_ChiHuong_ApGia" xfId="382" xr:uid="{00000000-0005-0000-0000-00004F010000}"/>
    <cellStyle name="_TG-TH_2_CoCauPhi (version 1)" xfId="383" xr:uid="{00000000-0005-0000-0000-00004D010000}"/>
    <cellStyle name="_TG-TH_2_CTMTQG 2015" xfId="384" xr:uid="{00000000-0005-0000-0000-00004E010000}"/>
    <cellStyle name="_TG-TH_2_DAU NOI PL-CL TAI PHU LAMHC" xfId="385" xr:uid="{00000000-0005-0000-0000-000050010000}"/>
    <cellStyle name="_TG-TH_2_DU TRU VAT TU" xfId="386" xr:uid="{00000000-0005-0000-0000-000051010000}"/>
    <cellStyle name="_TG-TH_2_Lora-tungchau" xfId="387" xr:uid="{00000000-0005-0000-0000-000052010000}"/>
    <cellStyle name="_TG-TH_2_Luy ke von ung nam 2011 -Thoa gui ngay 12-8-2012" xfId="388" xr:uid="{00000000-0005-0000-0000-000053010000}"/>
    <cellStyle name="_TG-TH_2_NhanCong" xfId="389" xr:uid="{00000000-0005-0000-0000-000054010000}"/>
    <cellStyle name="_TG-TH_2_phu luc tong ket tinh hinh TH giai doan 03-10 (ngay 30)" xfId="390" xr:uid="{00000000-0005-0000-0000-000055010000}"/>
    <cellStyle name="_TG-TH_2_Qt-HT3PQ1(CauKho)" xfId="391" xr:uid="{00000000-0005-0000-0000-000056010000}"/>
    <cellStyle name="_TG-TH_2_Sheet1" xfId="392" xr:uid="{00000000-0005-0000-0000-000057010000}"/>
    <cellStyle name="_TG-TH_2_ÿÿÿÿÿ" xfId="393" xr:uid="{00000000-0005-0000-0000-000058010000}"/>
    <cellStyle name="_TG-TH_3" xfId="394" xr:uid="{00000000-0005-0000-0000-000059010000}"/>
    <cellStyle name="_TG-TH_3_CTMTQG 2015" xfId="395" xr:uid="{00000000-0005-0000-0000-00005A010000}"/>
    <cellStyle name="_TG-TH_3_Lora-tungchau" xfId="396" xr:uid="{00000000-0005-0000-0000-00005B010000}"/>
    <cellStyle name="_TG-TH_3_Qt-HT3PQ1(CauKho)" xfId="397" xr:uid="{00000000-0005-0000-0000-00005C010000}"/>
    <cellStyle name="_TG-TH_4" xfId="398" xr:uid="{00000000-0005-0000-0000-00005D010000}"/>
    <cellStyle name="_Tong dutoan PP LAHAI" xfId="399" xr:uid="{00000000-0005-0000-0000-00005E010000}"/>
    <cellStyle name="_TPCP GT-24-5-Mien Nui" xfId="400" xr:uid="{00000000-0005-0000-0000-00005F010000}"/>
    <cellStyle name="_TPCP GT-24-5-Mien Nui_131114- Bieu giao du toan CTMTQG 2014 giao" xfId="401" xr:uid="{00000000-0005-0000-0000-000060010000}"/>
    <cellStyle name="_ung truoc 2011 NSTW Thanh Hoa + Nge An gui Thu 12-5" xfId="402" xr:uid="{00000000-0005-0000-0000-000061010000}"/>
    <cellStyle name="_ung truoc 2011 NSTW Thanh Hoa + Nge An gui Thu 12-5_131114- Bieu giao du toan CTMTQG 2014 giao" xfId="403" xr:uid="{00000000-0005-0000-0000-000062010000}"/>
    <cellStyle name="_ung truoc cua long an (6-5-2010)" xfId="404" xr:uid="{00000000-0005-0000-0000-000063010000}"/>
    <cellStyle name="_Ung von nam 2011 vung TNB - Doan Cong tac (12-5-2010)" xfId="405" xr:uid="{00000000-0005-0000-0000-000064010000}"/>
    <cellStyle name="_Ung von nam 2011 vung TNB - Doan Cong tac (12-5-2010)_131114- Bieu giao du toan CTMTQG 2014 giao" xfId="406" xr:uid="{00000000-0005-0000-0000-000065010000}"/>
    <cellStyle name="_Ung von nam 2011 vung TNB - Doan Cong tac (12-5-2010)_Cong trinh co y kien LD_Dang_NN_2011-Tay nguyen-9-10" xfId="407" xr:uid="{00000000-0005-0000-0000-000066010000}"/>
    <cellStyle name="_Ung von nam 2011 vung TNB - Doan Cong tac (12-5-2010)_Cong trinh co y kien LD_Dang_NN_2011-Tay nguyen-9-10_131114- Bieu giao du toan CTMTQG 2014 giao" xfId="408" xr:uid="{00000000-0005-0000-0000-000067010000}"/>
    <cellStyle name="_Ung von nam 2011 vung TNB - Doan Cong tac (12-5-2010)_TN - Ho tro khac 2011" xfId="409" xr:uid="{00000000-0005-0000-0000-000068010000}"/>
    <cellStyle name="_Ung von nam 2011 vung TNB - Doan Cong tac (12-5-2010)_TN - Ho tro khac 2011_131114- Bieu giao du toan CTMTQG 2014 giao" xfId="410" xr:uid="{00000000-0005-0000-0000-000069010000}"/>
    <cellStyle name="_ÿÿÿÿÿ" xfId="411" xr:uid="{00000000-0005-0000-0000-00006A010000}"/>
    <cellStyle name="_ÿÿÿÿÿ_131114- Bieu giao du toan CTMTQG 2014 giao" xfId="412" xr:uid="{00000000-0005-0000-0000-00006B010000}"/>
    <cellStyle name="_ÿÿÿÿÿ_Kh ql62 (2010) 11-09" xfId="413" xr:uid="{00000000-0005-0000-0000-00006C010000}"/>
    <cellStyle name="_ÿÿÿÿÿ_Khung 2012" xfId="414" xr:uid="{00000000-0005-0000-0000-00006D010000}"/>
    <cellStyle name="~1" xfId="415" xr:uid="{00000000-0005-0000-0000-00006E010000}"/>
    <cellStyle name="’Ê‰Ý [0.00]_laroux" xfId="416" xr:uid="{00000000-0005-0000-0000-00006F010000}"/>
    <cellStyle name="’Ê‰Ý_laroux" xfId="417" xr:uid="{00000000-0005-0000-0000-000070010000}"/>
    <cellStyle name="•W?_Format" xfId="418" xr:uid="{00000000-0005-0000-0000-000071010000}"/>
    <cellStyle name="•W€_’·Šú‰p•¶" xfId="419" xr:uid="{00000000-0005-0000-0000-000072010000}"/>
    <cellStyle name="•W_’·Šú‰p•¶" xfId="420" xr:uid="{00000000-0005-0000-0000-000073010000}"/>
    <cellStyle name="W_MARINE" xfId="421" xr:uid="{00000000-0005-0000-0000-000074010000}"/>
    <cellStyle name="0" xfId="422" xr:uid="{00000000-0005-0000-0000-000075010000}"/>
    <cellStyle name="0.0" xfId="423" xr:uid="{00000000-0005-0000-0000-000076010000}"/>
    <cellStyle name="0.00" xfId="424" xr:uid="{00000000-0005-0000-0000-000077010000}"/>
    <cellStyle name="1" xfId="425" xr:uid="{00000000-0005-0000-0000-000078010000}"/>
    <cellStyle name="1 2" xfId="426" xr:uid="{00000000-0005-0000-0000-000079010000}"/>
    <cellStyle name="1_2. Du toan dieu chinh 2016 xã phường 09-11" xfId="427" xr:uid="{00000000-0005-0000-0000-00007A010000}"/>
    <cellStyle name="1_2-Ha GiangBB2011-V1" xfId="428" xr:uid="{00000000-0005-0000-0000-00007B010000}"/>
    <cellStyle name="1_50-BB Vung tau 2011" xfId="429" xr:uid="{00000000-0005-0000-0000-00007C010000}"/>
    <cellStyle name="1_52-Long An2011.BB-V1" xfId="430" xr:uid="{00000000-0005-0000-0000-00007D010000}"/>
    <cellStyle name="1_63- Ca Mau" xfId="431" xr:uid="{00000000-0005-0000-0000-00007E010000}"/>
    <cellStyle name="1_63. Ca Mau Du toan 2013" xfId="432" xr:uid="{00000000-0005-0000-0000-00007F010000}"/>
    <cellStyle name="1_BAO GIA NGAY 24-10-08 (co dam)" xfId="433" xr:uid="{00000000-0005-0000-0000-000080010000}"/>
    <cellStyle name="1_Bieu dieu chinh NS nam 2015 da sua - Chuan" xfId="434" xr:uid="{00000000-0005-0000-0000-000081010000}"/>
    <cellStyle name="1_Book1" xfId="435" xr:uid="{00000000-0005-0000-0000-000082010000}"/>
    <cellStyle name="1_Book1_1" xfId="436" xr:uid="{00000000-0005-0000-0000-000083010000}"/>
    <cellStyle name="1_Book1_1_131114- Bieu giao du toan CTMTQG 2014 giao" xfId="437" xr:uid="{00000000-0005-0000-0000-000084010000}"/>
    <cellStyle name="1_Cau thuy dien Ban La (Cu Anh)" xfId="438" xr:uid="{00000000-0005-0000-0000-000085010000}"/>
    <cellStyle name="1_Cau thuy dien Ban La (Cu Anh)_131114- Bieu giao du toan CTMTQG 2014 giao" xfId="439" xr:uid="{00000000-0005-0000-0000-000086010000}"/>
    <cellStyle name="1_Cong trinh co y kien LD_Dang_NN_2011-Tay nguyen-9-10" xfId="440" xr:uid="{00000000-0005-0000-0000-000087010000}"/>
    <cellStyle name="1_DT 2010-Dong  Nai-V2" xfId="441" xr:uid="{00000000-0005-0000-0000-000088010000}"/>
    <cellStyle name="1_Dtdchinh2397" xfId="442" xr:uid="{00000000-0005-0000-0000-000089010000}"/>
    <cellStyle name="1_Du toan 558 (Km17+508.12 - Km 22)" xfId="443" xr:uid="{00000000-0005-0000-0000-00008A010000}"/>
    <cellStyle name="1_Du toan 558 (Km17+508.12 - Km 22)_131114- Bieu giao du toan CTMTQG 2014 giao" xfId="444" xr:uid="{00000000-0005-0000-0000-00008B010000}"/>
    <cellStyle name="1_Dutoan(SGTL)" xfId="445" xr:uid="{00000000-0005-0000-0000-00008C010000}"/>
    <cellStyle name="1_Gia_VLQL48_duyet " xfId="446" xr:uid="{00000000-0005-0000-0000-00008D010000}"/>
    <cellStyle name="1_Gia_VLQL48_duyet _131114- Bieu giao du toan CTMTQG 2014 giao" xfId="447" xr:uid="{00000000-0005-0000-0000-00008E010000}"/>
    <cellStyle name="1_Hai Duong2010-PA294.700" xfId="448" xr:uid="{00000000-0005-0000-0000-00008F010000}"/>
    <cellStyle name="1_Hai Duong2010-V1-Dukienlai" xfId="449" xr:uid="{00000000-0005-0000-0000-000090010000}"/>
    <cellStyle name="1_Kh ql62 (2010) 11-09" xfId="450" xr:uid="{00000000-0005-0000-0000-000093010000}"/>
    <cellStyle name="1_Khung 2012" xfId="451" xr:uid="{00000000-0005-0000-0000-000094010000}"/>
    <cellStyle name="1_KlQdinhduyet" xfId="452" xr:uid="{00000000-0005-0000-0000-000091010000}"/>
    <cellStyle name="1_KlQdinhduyet_131114- Bieu giao du toan CTMTQG 2014 giao" xfId="453" xr:uid="{00000000-0005-0000-0000-000092010000}"/>
    <cellStyle name="1_TN - Ho tro khac 2011" xfId="454" xr:uid="{00000000-0005-0000-0000-000095010000}"/>
    <cellStyle name="1_TRUNG PMU 5" xfId="455" xr:uid="{00000000-0005-0000-0000-000096010000}"/>
    <cellStyle name="1_Vinh Phuc2010-V1" xfId="456" xr:uid="{00000000-0005-0000-0000-000097010000}"/>
    <cellStyle name="1_ÿÿÿÿÿ" xfId="457" xr:uid="{00000000-0005-0000-0000-000098010000}"/>
    <cellStyle name="1_ÿÿÿÿÿ_Bieu tong hop nhu cau ung 2011 da chon loc -Mien nui" xfId="458" xr:uid="{00000000-0005-0000-0000-000099010000}"/>
    <cellStyle name="1_ÿÿÿÿÿ_Kh ql62 (2010) 11-09" xfId="459" xr:uid="{00000000-0005-0000-0000-00009A010000}"/>
    <cellStyle name="1_ÿÿÿÿÿ_Khung 2012" xfId="460" xr:uid="{00000000-0005-0000-0000-00009B010000}"/>
    <cellStyle name="18" xfId="461" xr:uid="{00000000-0005-0000-0000-00009C010000}"/>
    <cellStyle name="¹éºÐÀ²_      " xfId="462" xr:uid="{00000000-0005-0000-0000-00009D010000}"/>
    <cellStyle name="2" xfId="463" xr:uid="{00000000-0005-0000-0000-00009E010000}"/>
    <cellStyle name="2 2" xfId="464" xr:uid="{00000000-0005-0000-0000-00009F010000}"/>
    <cellStyle name="2_2. Du toan dieu chinh 2016 xã phường 09-11" xfId="465" xr:uid="{00000000-0005-0000-0000-0000A0010000}"/>
    <cellStyle name="2_Bieu dieu chinh NS nam 2015 da sua - Chuan" xfId="466" xr:uid="{00000000-0005-0000-0000-0000A1010000}"/>
    <cellStyle name="2_Book1" xfId="467" xr:uid="{00000000-0005-0000-0000-0000A2010000}"/>
    <cellStyle name="2_Book1_1" xfId="468" xr:uid="{00000000-0005-0000-0000-0000A3010000}"/>
    <cellStyle name="2_Book1_1_131114- Bieu giao du toan CTMTQG 2014 giao" xfId="469" xr:uid="{00000000-0005-0000-0000-0000A4010000}"/>
    <cellStyle name="2_Cau thuy dien Ban La (Cu Anh)" xfId="470" xr:uid="{00000000-0005-0000-0000-0000A5010000}"/>
    <cellStyle name="2_Cau thuy dien Ban La (Cu Anh)_131114- Bieu giao du toan CTMTQG 2014 giao" xfId="471" xr:uid="{00000000-0005-0000-0000-0000A6010000}"/>
    <cellStyle name="2_Dtdchinh2397" xfId="472" xr:uid="{00000000-0005-0000-0000-0000A7010000}"/>
    <cellStyle name="2_Du toan 558 (Km17+508.12 - Km 22)" xfId="473" xr:uid="{00000000-0005-0000-0000-0000A8010000}"/>
    <cellStyle name="2_Du toan 558 (Km17+508.12 - Km 22)_131114- Bieu giao du toan CTMTQG 2014 giao" xfId="474" xr:uid="{00000000-0005-0000-0000-0000A9010000}"/>
    <cellStyle name="2_Dutoan(SGTL)" xfId="475" xr:uid="{00000000-0005-0000-0000-0000AA010000}"/>
    <cellStyle name="2_Gia_VLQL48_duyet " xfId="476" xr:uid="{00000000-0005-0000-0000-0000AB010000}"/>
    <cellStyle name="2_Gia_VLQL48_duyet _131114- Bieu giao du toan CTMTQG 2014 giao" xfId="477" xr:uid="{00000000-0005-0000-0000-0000AC010000}"/>
    <cellStyle name="2_KlQdinhduyet" xfId="478" xr:uid="{00000000-0005-0000-0000-0000AD010000}"/>
    <cellStyle name="2_KlQdinhduyet_131114- Bieu giao du toan CTMTQG 2014 giao" xfId="479" xr:uid="{00000000-0005-0000-0000-0000AE010000}"/>
    <cellStyle name="2_TRUNG PMU 5" xfId="480" xr:uid="{00000000-0005-0000-0000-0000AF010000}"/>
    <cellStyle name="2_ÿÿÿÿÿ" xfId="481" xr:uid="{00000000-0005-0000-0000-0000B0010000}"/>
    <cellStyle name="2_ÿÿÿÿÿ_Bieu tong hop nhu cau ung 2011 da chon loc -Mien nui" xfId="482" xr:uid="{00000000-0005-0000-0000-0000B1010000}"/>
    <cellStyle name="20" xfId="483" xr:uid="{00000000-0005-0000-0000-0000B2010000}"/>
    <cellStyle name="20 2" xfId="484" xr:uid="{00000000-0005-0000-0000-0000B3010000}"/>
    <cellStyle name="20% - Accent1 2" xfId="485" xr:uid="{00000000-0005-0000-0000-0000B4010000}"/>
    <cellStyle name="20% - Accent1 3" xfId="486" xr:uid="{00000000-0005-0000-0000-0000B5010000}"/>
    <cellStyle name="20% - Accent1 3 2" xfId="487" xr:uid="{00000000-0005-0000-0000-0000B6010000}"/>
    <cellStyle name="20% - Accent1 4" xfId="488" xr:uid="{00000000-0005-0000-0000-0000B7010000}"/>
    <cellStyle name="20% - Accent2 2" xfId="489" xr:uid="{00000000-0005-0000-0000-0000B8010000}"/>
    <cellStyle name="20% - Accent2 3" xfId="490" xr:uid="{00000000-0005-0000-0000-0000B9010000}"/>
    <cellStyle name="20% - Accent2 3 2" xfId="491" xr:uid="{00000000-0005-0000-0000-0000BA010000}"/>
    <cellStyle name="20% - Accent2 4" xfId="492" xr:uid="{00000000-0005-0000-0000-0000BB010000}"/>
    <cellStyle name="20% - Accent3 2" xfId="493" xr:uid="{00000000-0005-0000-0000-0000BC010000}"/>
    <cellStyle name="20% - Accent3 3" xfId="494" xr:uid="{00000000-0005-0000-0000-0000BD010000}"/>
    <cellStyle name="20% - Accent3 3 2" xfId="495" xr:uid="{00000000-0005-0000-0000-0000BE010000}"/>
    <cellStyle name="20% - Accent3 4" xfId="496" xr:uid="{00000000-0005-0000-0000-0000BF010000}"/>
    <cellStyle name="20% - Accent4 2" xfId="497" xr:uid="{00000000-0005-0000-0000-0000C0010000}"/>
    <cellStyle name="20% - Accent4 3" xfId="498" xr:uid="{00000000-0005-0000-0000-0000C1010000}"/>
    <cellStyle name="20% - Accent4 3 2" xfId="499" xr:uid="{00000000-0005-0000-0000-0000C2010000}"/>
    <cellStyle name="20% - Accent4 4" xfId="500" xr:uid="{00000000-0005-0000-0000-0000C3010000}"/>
    <cellStyle name="20% - Accent5 2" xfId="501" xr:uid="{00000000-0005-0000-0000-0000C4010000}"/>
    <cellStyle name="20% - Accent5 3" xfId="502" xr:uid="{00000000-0005-0000-0000-0000C5010000}"/>
    <cellStyle name="20% - Accent5 3 2" xfId="503" xr:uid="{00000000-0005-0000-0000-0000C6010000}"/>
    <cellStyle name="20% - Accent5 4" xfId="504" xr:uid="{00000000-0005-0000-0000-0000C7010000}"/>
    <cellStyle name="20% - Accent6 2" xfId="505" xr:uid="{00000000-0005-0000-0000-0000C8010000}"/>
    <cellStyle name="20% - Accent6 3" xfId="506" xr:uid="{00000000-0005-0000-0000-0000C9010000}"/>
    <cellStyle name="20% - Accent6 3 2" xfId="507" xr:uid="{00000000-0005-0000-0000-0000CA010000}"/>
    <cellStyle name="20% - Accent6 4" xfId="508" xr:uid="{00000000-0005-0000-0000-0000CB010000}"/>
    <cellStyle name="20% - Nhấn1 2" xfId="509" xr:uid="{00000000-0005-0000-0000-0000CC010000}"/>
    <cellStyle name="20% - Nhấn2 2" xfId="510" xr:uid="{00000000-0005-0000-0000-0000CD010000}"/>
    <cellStyle name="20% - Nhấn3 2" xfId="511" xr:uid="{00000000-0005-0000-0000-0000CE010000}"/>
    <cellStyle name="20% - Nhấn4 2" xfId="512" xr:uid="{00000000-0005-0000-0000-0000CF010000}"/>
    <cellStyle name="20% - Nhấn5 2" xfId="513" xr:uid="{00000000-0005-0000-0000-0000D0010000}"/>
    <cellStyle name="20% - Nhấn6 2" xfId="514" xr:uid="{00000000-0005-0000-0000-0000D1010000}"/>
    <cellStyle name="-2001" xfId="515" xr:uid="{00000000-0005-0000-0000-0000D2010000}"/>
    <cellStyle name="3" xfId="516" xr:uid="{00000000-0005-0000-0000-0000D3010000}"/>
    <cellStyle name="3 2" xfId="517" xr:uid="{00000000-0005-0000-0000-0000D4010000}"/>
    <cellStyle name="3_2. Du toan dieu chinh 2016 xã phường 09-11" xfId="518" xr:uid="{00000000-0005-0000-0000-0000D5010000}"/>
    <cellStyle name="3_Bieu dieu chinh NS nam 2015 da sua - Chuan" xfId="519" xr:uid="{00000000-0005-0000-0000-0000D6010000}"/>
    <cellStyle name="3_Book1" xfId="520" xr:uid="{00000000-0005-0000-0000-0000D7010000}"/>
    <cellStyle name="3_Book1_1" xfId="521" xr:uid="{00000000-0005-0000-0000-0000D8010000}"/>
    <cellStyle name="3_Book1_1_131114- Bieu giao du toan CTMTQG 2014 giao" xfId="522" xr:uid="{00000000-0005-0000-0000-0000D9010000}"/>
    <cellStyle name="3_Cau thuy dien Ban La (Cu Anh)" xfId="523" xr:uid="{00000000-0005-0000-0000-0000DA010000}"/>
    <cellStyle name="3_Cau thuy dien Ban La (Cu Anh)_131114- Bieu giao du toan CTMTQG 2014 giao" xfId="524" xr:uid="{00000000-0005-0000-0000-0000DB010000}"/>
    <cellStyle name="3_Dtdchinh2397" xfId="525" xr:uid="{00000000-0005-0000-0000-0000DC010000}"/>
    <cellStyle name="3_Du toan 558 (Km17+508.12 - Km 22)" xfId="526" xr:uid="{00000000-0005-0000-0000-0000DD010000}"/>
    <cellStyle name="3_Du toan 558 (Km17+508.12 - Km 22)_131114- Bieu giao du toan CTMTQG 2014 giao" xfId="527" xr:uid="{00000000-0005-0000-0000-0000DE010000}"/>
    <cellStyle name="3_Dutoan(SGTL)" xfId="528" xr:uid="{00000000-0005-0000-0000-0000DF010000}"/>
    <cellStyle name="3_Gia_VLQL48_duyet " xfId="529" xr:uid="{00000000-0005-0000-0000-0000E0010000}"/>
    <cellStyle name="3_Gia_VLQL48_duyet _131114- Bieu giao du toan CTMTQG 2014 giao" xfId="530" xr:uid="{00000000-0005-0000-0000-0000E1010000}"/>
    <cellStyle name="3_KlQdinhduyet" xfId="531" xr:uid="{00000000-0005-0000-0000-0000E2010000}"/>
    <cellStyle name="3_KlQdinhduyet_131114- Bieu giao du toan CTMTQG 2014 giao" xfId="532" xr:uid="{00000000-0005-0000-0000-0000E3010000}"/>
    <cellStyle name="3_ÿÿÿÿÿ" xfId="533" xr:uid="{00000000-0005-0000-0000-0000E4010000}"/>
    <cellStyle name="4" xfId="534" xr:uid="{00000000-0005-0000-0000-0000E5010000}"/>
    <cellStyle name="4 2" xfId="535" xr:uid="{00000000-0005-0000-0000-0000E6010000}"/>
    <cellStyle name="4_2. Du toan dieu chinh 2016 xã phường 09-11" xfId="536" xr:uid="{00000000-0005-0000-0000-0000E7010000}"/>
    <cellStyle name="4_Bieu dieu chinh NS nam 2015 da sua - Chuan" xfId="537" xr:uid="{00000000-0005-0000-0000-0000E8010000}"/>
    <cellStyle name="4_Book1" xfId="538" xr:uid="{00000000-0005-0000-0000-0000E9010000}"/>
    <cellStyle name="4_Book1_1" xfId="539" xr:uid="{00000000-0005-0000-0000-0000EA010000}"/>
    <cellStyle name="4_Book1_1_131114- Bieu giao du toan CTMTQG 2014 giao" xfId="540" xr:uid="{00000000-0005-0000-0000-0000EB010000}"/>
    <cellStyle name="4_Cau thuy dien Ban La (Cu Anh)" xfId="541" xr:uid="{00000000-0005-0000-0000-0000EC010000}"/>
    <cellStyle name="4_Cau thuy dien Ban La (Cu Anh)_131114- Bieu giao du toan CTMTQG 2014 giao" xfId="542" xr:uid="{00000000-0005-0000-0000-0000ED010000}"/>
    <cellStyle name="4_Dtdchinh2397" xfId="543" xr:uid="{00000000-0005-0000-0000-0000EE010000}"/>
    <cellStyle name="4_Du toan 558 (Km17+508.12 - Km 22)" xfId="544" xr:uid="{00000000-0005-0000-0000-0000EF010000}"/>
    <cellStyle name="4_Du toan 558 (Km17+508.12 - Km 22)_131114- Bieu giao du toan CTMTQG 2014 giao" xfId="545" xr:uid="{00000000-0005-0000-0000-0000F0010000}"/>
    <cellStyle name="4_Dutoan(SGTL)" xfId="546" xr:uid="{00000000-0005-0000-0000-0000F1010000}"/>
    <cellStyle name="4_Gia_VLQL48_duyet " xfId="547" xr:uid="{00000000-0005-0000-0000-0000F2010000}"/>
    <cellStyle name="4_Gia_VLQL48_duyet _131114- Bieu giao du toan CTMTQG 2014 giao" xfId="548" xr:uid="{00000000-0005-0000-0000-0000F3010000}"/>
    <cellStyle name="4_KlQdinhduyet" xfId="549" xr:uid="{00000000-0005-0000-0000-0000F4010000}"/>
    <cellStyle name="4_KlQdinhduyet_131114- Bieu giao du toan CTMTQG 2014 giao" xfId="550" xr:uid="{00000000-0005-0000-0000-0000F5010000}"/>
    <cellStyle name="4_ÿÿÿÿÿ" xfId="551" xr:uid="{00000000-0005-0000-0000-0000F6010000}"/>
    <cellStyle name="40% - Accent1 2" xfId="552" xr:uid="{00000000-0005-0000-0000-0000F7010000}"/>
    <cellStyle name="40% - Accent1 3" xfId="553" xr:uid="{00000000-0005-0000-0000-0000F8010000}"/>
    <cellStyle name="40% - Accent1 4" xfId="554" xr:uid="{00000000-0005-0000-0000-0000F9010000}"/>
    <cellStyle name="40% - Accent2 2" xfId="555" xr:uid="{00000000-0005-0000-0000-0000FA010000}"/>
    <cellStyle name="40% - Accent2 3" xfId="556" xr:uid="{00000000-0005-0000-0000-0000FB010000}"/>
    <cellStyle name="40% - Accent2 3 2" xfId="557" xr:uid="{00000000-0005-0000-0000-0000FC010000}"/>
    <cellStyle name="40% - Accent2 4" xfId="558" xr:uid="{00000000-0005-0000-0000-0000FD010000}"/>
    <cellStyle name="40% - Accent3 2" xfId="559" xr:uid="{00000000-0005-0000-0000-0000FE010000}"/>
    <cellStyle name="40% - Accent3 3" xfId="560" xr:uid="{00000000-0005-0000-0000-0000FF010000}"/>
    <cellStyle name="40% - Accent3 3 2" xfId="561" xr:uid="{00000000-0005-0000-0000-000000020000}"/>
    <cellStyle name="40% - Accent3 4" xfId="562" xr:uid="{00000000-0005-0000-0000-000001020000}"/>
    <cellStyle name="40% - Accent4 2" xfId="563" xr:uid="{00000000-0005-0000-0000-000002020000}"/>
    <cellStyle name="40% - Accent4 3" xfId="564" xr:uid="{00000000-0005-0000-0000-000003020000}"/>
    <cellStyle name="40% - Accent4 3 2" xfId="565" xr:uid="{00000000-0005-0000-0000-000004020000}"/>
    <cellStyle name="40% - Accent4 4" xfId="566" xr:uid="{00000000-0005-0000-0000-000005020000}"/>
    <cellStyle name="40% - Accent5 2" xfId="567" xr:uid="{00000000-0005-0000-0000-000006020000}"/>
    <cellStyle name="40% - Accent5 3" xfId="568" xr:uid="{00000000-0005-0000-0000-000007020000}"/>
    <cellStyle name="40% - Accent5 4" xfId="569" xr:uid="{00000000-0005-0000-0000-000008020000}"/>
    <cellStyle name="40% - Accent6 2" xfId="570" xr:uid="{00000000-0005-0000-0000-000009020000}"/>
    <cellStyle name="40% - Accent6 3" xfId="571" xr:uid="{00000000-0005-0000-0000-00000A020000}"/>
    <cellStyle name="40% - Accent6 3 2" xfId="572" xr:uid="{00000000-0005-0000-0000-00000B020000}"/>
    <cellStyle name="40% - Accent6 4" xfId="573" xr:uid="{00000000-0005-0000-0000-00000C020000}"/>
    <cellStyle name="40% - Nhấn1 2" xfId="574" xr:uid="{00000000-0005-0000-0000-00000D020000}"/>
    <cellStyle name="40% - Nhấn2 2" xfId="575" xr:uid="{00000000-0005-0000-0000-00000E020000}"/>
    <cellStyle name="40% - Nhấn3 2" xfId="576" xr:uid="{00000000-0005-0000-0000-00000F020000}"/>
    <cellStyle name="40% - Nhấn4 2" xfId="577" xr:uid="{00000000-0005-0000-0000-000010020000}"/>
    <cellStyle name="40% - Nhấn5 2" xfId="578" xr:uid="{00000000-0005-0000-0000-000011020000}"/>
    <cellStyle name="40% - Nhấn6 2" xfId="579" xr:uid="{00000000-0005-0000-0000-000012020000}"/>
    <cellStyle name="52" xfId="580" xr:uid="{00000000-0005-0000-0000-000013020000}"/>
    <cellStyle name="6" xfId="581" xr:uid="{00000000-0005-0000-0000-000014020000}"/>
    <cellStyle name="6 2" xfId="582" xr:uid="{00000000-0005-0000-0000-000015020000}"/>
    <cellStyle name="6 3" xfId="583" xr:uid="{00000000-0005-0000-0000-000016020000}"/>
    <cellStyle name="6_131114- Bieu giao du toan CTMTQG 2014 giao" xfId="584" xr:uid="{00000000-0005-0000-0000-000017020000}"/>
    <cellStyle name="6_Book1" xfId="585" xr:uid="{00000000-0005-0000-0000-000018020000}"/>
    <cellStyle name="6_Cong trinh co y kien LD_Dang_NN_2011-Tay nguyen-9-10" xfId="586" xr:uid="{00000000-0005-0000-0000-000019020000}"/>
    <cellStyle name="6_Cong trinh co y kien LD_Dang_NN_2011-Tay nguyen-9-10_131114- Bieu giao du toan CTMTQG 2014 giao" xfId="587" xr:uid="{00000000-0005-0000-0000-00001A020000}"/>
    <cellStyle name="6_KHKT_tong_quat_BK_(Pb_20.3)(1) (1)" xfId="588" xr:uid="{00000000-0005-0000-0000-00001B020000}"/>
    <cellStyle name="6_PL 2 (Nhan su)" xfId="589" xr:uid="{00000000-0005-0000-0000-00001C020000}"/>
    <cellStyle name="6_PL1 " xfId="590" xr:uid="{00000000-0005-0000-0000-00001D020000}"/>
    <cellStyle name="6_TABMIS 16.12.10" xfId="591" xr:uid="{00000000-0005-0000-0000-00001E020000}"/>
    <cellStyle name="6_TABMIS chuyen nguon" xfId="592" xr:uid="{00000000-0005-0000-0000-00001F020000}"/>
    <cellStyle name="6_TINH HNH DOANH NGHIEP GUI KIEM TOAN" xfId="593" xr:uid="{00000000-0005-0000-0000-000020020000}"/>
    <cellStyle name="6_TN - Ho tro khac 2011" xfId="594" xr:uid="{00000000-0005-0000-0000-000021020000}"/>
    <cellStyle name="6_TN - Ho tro khac 2011_131114- Bieu giao du toan CTMTQG 2014 giao" xfId="595" xr:uid="{00000000-0005-0000-0000-000022020000}"/>
    <cellStyle name="6_" xfId="596" xr:uid="{00000000-0005-0000-0000-000023020000}"/>
    <cellStyle name="60% - Accent1 2" xfId="597" xr:uid="{00000000-0005-0000-0000-000024020000}"/>
    <cellStyle name="60% - Accent1 3" xfId="598" xr:uid="{00000000-0005-0000-0000-000025020000}"/>
    <cellStyle name="60% - Accent1 3 2" xfId="599" xr:uid="{00000000-0005-0000-0000-000026020000}"/>
    <cellStyle name="60% - Accent1 4" xfId="600" xr:uid="{00000000-0005-0000-0000-000027020000}"/>
    <cellStyle name="60% - Accent2 2" xfId="601" xr:uid="{00000000-0005-0000-0000-000028020000}"/>
    <cellStyle name="60% - Accent2 3" xfId="602" xr:uid="{00000000-0005-0000-0000-000029020000}"/>
    <cellStyle name="60% - Accent2 3 2" xfId="603" xr:uid="{00000000-0005-0000-0000-00002A020000}"/>
    <cellStyle name="60% - Accent2 4" xfId="604" xr:uid="{00000000-0005-0000-0000-00002B020000}"/>
    <cellStyle name="60% - Accent3 2" xfId="605" xr:uid="{00000000-0005-0000-0000-00002C020000}"/>
    <cellStyle name="60% - Accent3 3" xfId="606" xr:uid="{00000000-0005-0000-0000-00002D020000}"/>
    <cellStyle name="60% - Accent3 3 2" xfId="607" xr:uid="{00000000-0005-0000-0000-00002E020000}"/>
    <cellStyle name="60% - Accent3 4" xfId="608" xr:uid="{00000000-0005-0000-0000-00002F020000}"/>
    <cellStyle name="60% - Accent4 2" xfId="609" xr:uid="{00000000-0005-0000-0000-000030020000}"/>
    <cellStyle name="60% - Accent4 3" xfId="610" xr:uid="{00000000-0005-0000-0000-000031020000}"/>
    <cellStyle name="60% - Accent4 3 2" xfId="611" xr:uid="{00000000-0005-0000-0000-000032020000}"/>
    <cellStyle name="60% - Accent4 4" xfId="612" xr:uid="{00000000-0005-0000-0000-000033020000}"/>
    <cellStyle name="60% - Accent5 2" xfId="613" xr:uid="{00000000-0005-0000-0000-000034020000}"/>
    <cellStyle name="60% - Accent5 3" xfId="614" xr:uid="{00000000-0005-0000-0000-000035020000}"/>
    <cellStyle name="60% - Accent5 4" xfId="615" xr:uid="{00000000-0005-0000-0000-000036020000}"/>
    <cellStyle name="60% - Accent6 2" xfId="616" xr:uid="{00000000-0005-0000-0000-000037020000}"/>
    <cellStyle name="60% - Accent6 3" xfId="617" xr:uid="{00000000-0005-0000-0000-000038020000}"/>
    <cellStyle name="60% - Accent6 3 2" xfId="618" xr:uid="{00000000-0005-0000-0000-000039020000}"/>
    <cellStyle name="60% - Accent6 4" xfId="619" xr:uid="{00000000-0005-0000-0000-00003A020000}"/>
    <cellStyle name="9" xfId="620" xr:uid="{00000000-0005-0000-0000-00003B020000}"/>
    <cellStyle name="9_131114- Bieu giao du toan CTMTQG 2014 giao" xfId="621" xr:uid="{00000000-0005-0000-0000-00003C020000}"/>
    <cellStyle name="a" xfId="622" xr:uid="{00000000-0005-0000-0000-00003D020000}"/>
    <cellStyle name="Accent1 2" xfId="623" xr:uid="{00000000-0005-0000-0000-00003E020000}"/>
    <cellStyle name="Accent1 3" xfId="624" xr:uid="{00000000-0005-0000-0000-00003F020000}"/>
    <cellStyle name="Accent1 3 2" xfId="625" xr:uid="{00000000-0005-0000-0000-000040020000}"/>
    <cellStyle name="Accent1 4" xfId="626" xr:uid="{00000000-0005-0000-0000-000041020000}"/>
    <cellStyle name="Accent2 2" xfId="627" xr:uid="{00000000-0005-0000-0000-000042020000}"/>
    <cellStyle name="Accent2 3" xfId="628" xr:uid="{00000000-0005-0000-0000-000043020000}"/>
    <cellStyle name="Accent2 3 2" xfId="629" xr:uid="{00000000-0005-0000-0000-000044020000}"/>
    <cellStyle name="Accent2 4" xfId="630" xr:uid="{00000000-0005-0000-0000-000045020000}"/>
    <cellStyle name="Accent3 2" xfId="631" xr:uid="{00000000-0005-0000-0000-000046020000}"/>
    <cellStyle name="Accent3 3" xfId="632" xr:uid="{00000000-0005-0000-0000-000047020000}"/>
    <cellStyle name="Accent3 3 2" xfId="633" xr:uid="{00000000-0005-0000-0000-000048020000}"/>
    <cellStyle name="Accent3 4" xfId="634" xr:uid="{00000000-0005-0000-0000-000049020000}"/>
    <cellStyle name="Accent4 2" xfId="635" xr:uid="{00000000-0005-0000-0000-00004A020000}"/>
    <cellStyle name="Accent4 3" xfId="636" xr:uid="{00000000-0005-0000-0000-00004B020000}"/>
    <cellStyle name="Accent4 3 2" xfId="637" xr:uid="{00000000-0005-0000-0000-00004C020000}"/>
    <cellStyle name="Accent4 4" xfId="638" xr:uid="{00000000-0005-0000-0000-00004D020000}"/>
    <cellStyle name="Accent5 2" xfId="639" xr:uid="{00000000-0005-0000-0000-00004E020000}"/>
    <cellStyle name="Accent5 3" xfId="640" xr:uid="{00000000-0005-0000-0000-00004F020000}"/>
    <cellStyle name="Accent5 3 2" xfId="641" xr:uid="{00000000-0005-0000-0000-000050020000}"/>
    <cellStyle name="Accent5 4" xfId="642" xr:uid="{00000000-0005-0000-0000-000051020000}"/>
    <cellStyle name="Accent6 2" xfId="643" xr:uid="{00000000-0005-0000-0000-000052020000}"/>
    <cellStyle name="Accent6 3" xfId="644" xr:uid="{00000000-0005-0000-0000-000053020000}"/>
    <cellStyle name="Accent6 3 2" xfId="645" xr:uid="{00000000-0005-0000-0000-000054020000}"/>
    <cellStyle name="Accent6 4" xfId="646" xr:uid="{00000000-0005-0000-0000-000055020000}"/>
    <cellStyle name="ÅëÈ­ [0]_      " xfId="647" xr:uid="{00000000-0005-0000-0000-000056020000}"/>
    <cellStyle name="AeE­ [0]_INQUIRY ¿?¾÷AßAø " xfId="648" xr:uid="{00000000-0005-0000-0000-000057020000}"/>
    <cellStyle name="ÅëÈ­ [0]_L601CPT" xfId="649" xr:uid="{00000000-0005-0000-0000-000058020000}"/>
    <cellStyle name="ÅëÈ­_      " xfId="650" xr:uid="{00000000-0005-0000-0000-000059020000}"/>
    <cellStyle name="AeE­_INQUIRY ¿?¾÷AßAø " xfId="651" xr:uid="{00000000-0005-0000-0000-00005A020000}"/>
    <cellStyle name="ÅëÈ­_L601CPT" xfId="652" xr:uid="{00000000-0005-0000-0000-00005B020000}"/>
    <cellStyle name="args.style" xfId="653" xr:uid="{00000000-0005-0000-0000-00005C020000}"/>
    <cellStyle name="at" xfId="654" xr:uid="{00000000-0005-0000-0000-00005D020000}"/>
    <cellStyle name="ÄÞ¸¶ [0]_      " xfId="655" xr:uid="{00000000-0005-0000-0000-00005E020000}"/>
    <cellStyle name="AÞ¸¶ [0]_INQUIRY ¿?¾÷AßAø " xfId="656" xr:uid="{00000000-0005-0000-0000-00005F020000}"/>
    <cellStyle name="ÄÞ¸¶ [0]_L601CPT" xfId="657" xr:uid="{00000000-0005-0000-0000-000060020000}"/>
    <cellStyle name="ÄÞ¸¶_      " xfId="658" xr:uid="{00000000-0005-0000-0000-000061020000}"/>
    <cellStyle name="AÞ¸¶_INQUIRY ¿?¾÷AßAø " xfId="659" xr:uid="{00000000-0005-0000-0000-000062020000}"/>
    <cellStyle name="ÄÞ¸¶_L601CPT" xfId="660" xr:uid="{00000000-0005-0000-0000-000063020000}"/>
    <cellStyle name="AutoFormat Options" xfId="661" xr:uid="{00000000-0005-0000-0000-000064020000}"/>
    <cellStyle name="Bad 2" xfId="662" xr:uid="{00000000-0005-0000-0000-000065020000}"/>
    <cellStyle name="Bad 3" xfId="663" xr:uid="{00000000-0005-0000-0000-000066020000}"/>
    <cellStyle name="Bad 4" xfId="664" xr:uid="{00000000-0005-0000-0000-000067020000}"/>
    <cellStyle name="BILL제목" xfId="665" xr:uid="{00000000-0005-0000-0000-000068020000}"/>
    <cellStyle name="Bình thường" xfId="0" builtinId="0"/>
    <cellStyle name="Bình thường 2" xfId="21" xr:uid="{00000000-0005-0000-0000-00006A020000}"/>
    <cellStyle name="Bình thường 2 2" xfId="41" xr:uid="{00000000-0005-0000-0000-00006B020000}"/>
    <cellStyle name="Bình thường 2 3" xfId="666" xr:uid="{00000000-0005-0000-0000-00006C020000}"/>
    <cellStyle name="Bình thường 3" xfId="667" xr:uid="{00000000-0005-0000-0000-00006D020000}"/>
    <cellStyle name="Bình thường 4" xfId="668" xr:uid="{00000000-0005-0000-0000-00006E020000}"/>
    <cellStyle name="Bình thường 5" xfId="669" xr:uid="{00000000-0005-0000-0000-00006F020000}"/>
    <cellStyle name="Bình thường 6" xfId="48" xr:uid="{00000000-0005-0000-0000-000070020000}"/>
    <cellStyle name="Body" xfId="670" xr:uid="{00000000-0005-0000-0000-000071020000}"/>
    <cellStyle name="C?AØ_¿?¾÷CoE² " xfId="671" xr:uid="{00000000-0005-0000-0000-000072020000}"/>
    <cellStyle name="C~1" xfId="672" xr:uid="{00000000-0005-0000-0000-000073020000}"/>
    <cellStyle name="Ç¥ÁØ_      " xfId="673" xr:uid="{00000000-0005-0000-0000-000074020000}"/>
    <cellStyle name="C￥AØ_¿μ¾÷CoE² " xfId="674" xr:uid="{00000000-0005-0000-0000-000075020000}"/>
    <cellStyle name="Ç¥ÁØ_±¸¹Ì´ëÃ¥" xfId="675" xr:uid="{00000000-0005-0000-0000-000076020000}"/>
    <cellStyle name="C￥AØ_≫c¾÷ºIº° AN°e " xfId="676" xr:uid="{00000000-0005-0000-0000-000077020000}"/>
    <cellStyle name="Ç¥ÁØ_°èÈ¹" xfId="677" xr:uid="{00000000-0005-0000-0000-000078020000}"/>
    <cellStyle name="C￥AØ_Sheet1_¿μ¾÷CoE² " xfId="678" xr:uid="{00000000-0005-0000-0000-000079020000}"/>
    <cellStyle name="Ç¥ÁØ_ÿÿÿÿÿÿ_4_ÃÑÇÕ°è " xfId="679" xr:uid="{00000000-0005-0000-0000-00007A020000}"/>
    <cellStyle name="Calc Currency (0)" xfId="680" xr:uid="{00000000-0005-0000-0000-00007B020000}"/>
    <cellStyle name="Calc Currency (0) 2" xfId="681" xr:uid="{00000000-0005-0000-0000-00007C020000}"/>
    <cellStyle name="Calc Currency (2)" xfId="682" xr:uid="{00000000-0005-0000-0000-00007D020000}"/>
    <cellStyle name="Calc Percent (0)" xfId="683" xr:uid="{00000000-0005-0000-0000-00007E020000}"/>
    <cellStyle name="Calc Percent (1)" xfId="684" xr:uid="{00000000-0005-0000-0000-00007F020000}"/>
    <cellStyle name="Calc Percent (1) 2" xfId="685" xr:uid="{00000000-0005-0000-0000-000080020000}"/>
    <cellStyle name="Calc Percent (1) 3" xfId="686" xr:uid="{00000000-0005-0000-0000-000081020000}"/>
    <cellStyle name="Calc Percent (2)" xfId="687" xr:uid="{00000000-0005-0000-0000-000082020000}"/>
    <cellStyle name="Calc Percent (2) 2" xfId="688" xr:uid="{00000000-0005-0000-0000-000083020000}"/>
    <cellStyle name="Calc Percent (2) 3" xfId="689" xr:uid="{00000000-0005-0000-0000-000084020000}"/>
    <cellStyle name="Calc Units (0)" xfId="690" xr:uid="{00000000-0005-0000-0000-000085020000}"/>
    <cellStyle name="Calc Units (0) 2" xfId="691" xr:uid="{00000000-0005-0000-0000-000086020000}"/>
    <cellStyle name="Calc Units (0) 3" xfId="692" xr:uid="{00000000-0005-0000-0000-000087020000}"/>
    <cellStyle name="Calc Units (1)" xfId="693" xr:uid="{00000000-0005-0000-0000-000088020000}"/>
    <cellStyle name="Calc Units (1) 2" xfId="694" xr:uid="{00000000-0005-0000-0000-000089020000}"/>
    <cellStyle name="Calc Units (1) 3" xfId="695" xr:uid="{00000000-0005-0000-0000-00008A020000}"/>
    <cellStyle name="Calc Units (2)" xfId="696" xr:uid="{00000000-0005-0000-0000-00008B020000}"/>
    <cellStyle name="Calculation 2" xfId="697" xr:uid="{00000000-0005-0000-0000-00008C020000}"/>
    <cellStyle name="Calculation 3" xfId="698" xr:uid="{00000000-0005-0000-0000-00008D020000}"/>
    <cellStyle name="Calculation 4" xfId="699" xr:uid="{00000000-0005-0000-0000-00008E020000}"/>
    <cellStyle name="category" xfId="700" xr:uid="{00000000-0005-0000-0000-00008F020000}"/>
    <cellStyle name="CC1" xfId="701" xr:uid="{00000000-0005-0000-0000-000090020000}"/>
    <cellStyle name="CC2" xfId="702" xr:uid="{00000000-0005-0000-0000-000091020000}"/>
    <cellStyle name="Cerrency_Sheet2_XANGDAU" xfId="703" xr:uid="{00000000-0005-0000-0000-000092020000}"/>
    <cellStyle name="chchuyen" xfId="704" xr:uid="{00000000-0005-0000-0000-00007A030000}"/>
    <cellStyle name="Check Cell 2" xfId="705" xr:uid="{00000000-0005-0000-0000-00007B030000}"/>
    <cellStyle name="Check Cell 3" xfId="706" xr:uid="{00000000-0005-0000-0000-00007C030000}"/>
    <cellStyle name="Check Cell 4" xfId="707" xr:uid="{00000000-0005-0000-0000-00007D030000}"/>
    <cellStyle name="Chi phÝ kh¸c_Book1" xfId="708" xr:uid="{00000000-0005-0000-0000-00007E030000}"/>
    <cellStyle name="Chuẩn 2" xfId="1" xr:uid="{00000000-0005-0000-0000-00007F030000}"/>
    <cellStyle name="Chuẩn 2 16" xfId="12" xr:uid="{00000000-0005-0000-0000-000080030000}"/>
    <cellStyle name="Chuẩn 2 2" xfId="40" xr:uid="{00000000-0005-0000-0000-000081030000}"/>
    <cellStyle name="Chuẩn 2 2 2" xfId="709" xr:uid="{00000000-0005-0000-0000-000082030000}"/>
    <cellStyle name="Chuẩn 2 3" xfId="44" xr:uid="{00000000-0005-0000-0000-000083030000}"/>
    <cellStyle name="Chuẩn 2 3 2" xfId="710" xr:uid="{00000000-0005-0000-0000-000084030000}"/>
    <cellStyle name="Chuẩn 3" xfId="711" xr:uid="{00000000-0005-0000-0000-000085030000}"/>
    <cellStyle name="Chuẩn 3 2" xfId="712" xr:uid="{00000000-0005-0000-0000-000086030000}"/>
    <cellStyle name="Chuẩn 3 3" xfId="713" xr:uid="{00000000-0005-0000-0000-000087030000}"/>
    <cellStyle name="Chuẩn 5 3" xfId="13" xr:uid="{00000000-0005-0000-0000-000088030000}"/>
    <cellStyle name="CHUONG" xfId="714" xr:uid="{00000000-0005-0000-0000-000089030000}"/>
    <cellStyle name="Comma  - Style1" xfId="715" xr:uid="{00000000-0005-0000-0000-000093020000}"/>
    <cellStyle name="Comma  - Style1 2" xfId="716" xr:uid="{00000000-0005-0000-0000-000094020000}"/>
    <cellStyle name="Comma  - Style1 3" xfId="717" xr:uid="{00000000-0005-0000-0000-000095020000}"/>
    <cellStyle name="Comma  - Style2" xfId="718" xr:uid="{00000000-0005-0000-0000-000096020000}"/>
    <cellStyle name="Comma  - Style2 2" xfId="719" xr:uid="{00000000-0005-0000-0000-000097020000}"/>
    <cellStyle name="Comma  - Style2 3" xfId="720" xr:uid="{00000000-0005-0000-0000-000098020000}"/>
    <cellStyle name="Comma  - Style3" xfId="721" xr:uid="{00000000-0005-0000-0000-000099020000}"/>
    <cellStyle name="Comma  - Style3 2" xfId="722" xr:uid="{00000000-0005-0000-0000-00009A020000}"/>
    <cellStyle name="Comma  - Style3 3" xfId="723" xr:uid="{00000000-0005-0000-0000-00009B020000}"/>
    <cellStyle name="Comma  - Style4" xfId="724" xr:uid="{00000000-0005-0000-0000-00009C020000}"/>
    <cellStyle name="Comma  - Style4 2" xfId="725" xr:uid="{00000000-0005-0000-0000-00009D020000}"/>
    <cellStyle name="Comma  - Style4 3" xfId="726" xr:uid="{00000000-0005-0000-0000-00009E020000}"/>
    <cellStyle name="Comma  - Style5" xfId="727" xr:uid="{00000000-0005-0000-0000-00009F020000}"/>
    <cellStyle name="Comma  - Style5 2" xfId="728" xr:uid="{00000000-0005-0000-0000-0000A0020000}"/>
    <cellStyle name="Comma  - Style5 3" xfId="729" xr:uid="{00000000-0005-0000-0000-0000A1020000}"/>
    <cellStyle name="Comma  - Style6" xfId="730" xr:uid="{00000000-0005-0000-0000-0000A2020000}"/>
    <cellStyle name="Comma  - Style6 2" xfId="731" xr:uid="{00000000-0005-0000-0000-0000A3020000}"/>
    <cellStyle name="Comma  - Style6 3" xfId="732" xr:uid="{00000000-0005-0000-0000-0000A4020000}"/>
    <cellStyle name="Comma  - Style7" xfId="733" xr:uid="{00000000-0005-0000-0000-0000A5020000}"/>
    <cellStyle name="Comma  - Style7 2" xfId="734" xr:uid="{00000000-0005-0000-0000-0000A6020000}"/>
    <cellStyle name="Comma  - Style7 3" xfId="735" xr:uid="{00000000-0005-0000-0000-0000A7020000}"/>
    <cellStyle name="Comma  - Style8" xfId="736" xr:uid="{00000000-0005-0000-0000-0000A8020000}"/>
    <cellStyle name="Comma  - Style8 2" xfId="737" xr:uid="{00000000-0005-0000-0000-0000A9020000}"/>
    <cellStyle name="Comma  - Style8 3" xfId="738" xr:uid="{00000000-0005-0000-0000-0000AA020000}"/>
    <cellStyle name="Comma [0] 2" xfId="22" xr:uid="{00000000-0005-0000-0000-0000AB020000}"/>
    <cellStyle name="Comma [0] 2 2" xfId="11" xr:uid="{00000000-0005-0000-0000-0000AC020000}"/>
    <cellStyle name="Comma [0] 2 2 2" xfId="740" xr:uid="{00000000-0005-0000-0000-0000AD020000}"/>
    <cellStyle name="Comma [0] 2 3" xfId="741" xr:uid="{00000000-0005-0000-0000-0000AE020000}"/>
    <cellStyle name="Comma [0] 2 4" xfId="742" xr:uid="{00000000-0005-0000-0000-0000AF020000}"/>
    <cellStyle name="Comma [0] 2 5" xfId="739" xr:uid="{00000000-0005-0000-0000-0000B0020000}"/>
    <cellStyle name="Comma [0] 23" xfId="743" xr:uid="{00000000-0005-0000-0000-0000B1020000}"/>
    <cellStyle name="Comma [0] 24" xfId="744" xr:uid="{00000000-0005-0000-0000-0000B2020000}"/>
    <cellStyle name="Comma [0] 24 2" xfId="745" xr:uid="{00000000-0005-0000-0000-0000B3020000}"/>
    <cellStyle name="Comma [0] 25" xfId="746" xr:uid="{00000000-0005-0000-0000-0000B4020000}"/>
    <cellStyle name="Comma [0] 26" xfId="747" xr:uid="{00000000-0005-0000-0000-0000B5020000}"/>
    <cellStyle name="Comma [0] 26 2" xfId="748" xr:uid="{00000000-0005-0000-0000-0000B6020000}"/>
    <cellStyle name="Comma [0] 3" xfId="23" xr:uid="{00000000-0005-0000-0000-0000B7020000}"/>
    <cellStyle name="Comma [0] 3 2" xfId="750" xr:uid="{00000000-0005-0000-0000-0000B8020000}"/>
    <cellStyle name="Comma [0] 3 3" xfId="751" xr:uid="{00000000-0005-0000-0000-0000B9020000}"/>
    <cellStyle name="Comma [0] 3 4" xfId="749" xr:uid="{00000000-0005-0000-0000-0000BA020000}"/>
    <cellStyle name="Comma [0] 4" xfId="752" xr:uid="{00000000-0005-0000-0000-0000BB020000}"/>
    <cellStyle name="Comma [0] 5" xfId="753" xr:uid="{00000000-0005-0000-0000-0000BC020000}"/>
    <cellStyle name="Comma [0] 6" xfId="754" xr:uid="{00000000-0005-0000-0000-0000BD020000}"/>
    <cellStyle name="Comma [00]" xfId="755" xr:uid="{00000000-0005-0000-0000-0000BE020000}"/>
    <cellStyle name="Comma [00] 2" xfId="756" xr:uid="{00000000-0005-0000-0000-0000BF020000}"/>
    <cellStyle name="Comma [00] 3" xfId="757" xr:uid="{00000000-0005-0000-0000-0000C0020000}"/>
    <cellStyle name="Comma 10" xfId="758" xr:uid="{00000000-0005-0000-0000-0000C1020000}"/>
    <cellStyle name="Comma 10 2" xfId="759" xr:uid="{00000000-0005-0000-0000-0000C2020000}"/>
    <cellStyle name="Comma 10 2 2" xfId="760" xr:uid="{00000000-0005-0000-0000-0000C3020000}"/>
    <cellStyle name="Comma 10 3" xfId="761" xr:uid="{00000000-0005-0000-0000-0000C4020000}"/>
    <cellStyle name="Comma 10 4" xfId="762" xr:uid="{00000000-0005-0000-0000-0000C5020000}"/>
    <cellStyle name="Comma 10 5" xfId="763" xr:uid="{00000000-0005-0000-0000-0000C6020000}"/>
    <cellStyle name="Comma 10 6" xfId="764" xr:uid="{00000000-0005-0000-0000-0000C7020000}"/>
    <cellStyle name="Comma 11" xfId="765" xr:uid="{00000000-0005-0000-0000-0000C8020000}"/>
    <cellStyle name="Comma 11 2" xfId="766" xr:uid="{00000000-0005-0000-0000-0000C9020000}"/>
    <cellStyle name="Comma 11 2 2" xfId="767" xr:uid="{00000000-0005-0000-0000-0000CA020000}"/>
    <cellStyle name="Comma 11 3" xfId="768" xr:uid="{00000000-0005-0000-0000-0000CB020000}"/>
    <cellStyle name="Comma 12" xfId="769" xr:uid="{00000000-0005-0000-0000-0000CC020000}"/>
    <cellStyle name="Comma 12 2" xfId="770" xr:uid="{00000000-0005-0000-0000-0000CD020000}"/>
    <cellStyle name="Comma 12 2 2" xfId="771" xr:uid="{00000000-0005-0000-0000-0000CE020000}"/>
    <cellStyle name="Comma 12 3" xfId="772" xr:uid="{00000000-0005-0000-0000-0000CF020000}"/>
    <cellStyle name="Comma 12 4" xfId="773" xr:uid="{00000000-0005-0000-0000-0000D0020000}"/>
    <cellStyle name="Comma 12_140817 20 DP" xfId="774" xr:uid="{00000000-0005-0000-0000-0000D1020000}"/>
    <cellStyle name="Comma 13" xfId="775" xr:uid="{00000000-0005-0000-0000-0000D2020000}"/>
    <cellStyle name="Comma 13 2" xfId="776" xr:uid="{00000000-0005-0000-0000-0000D3020000}"/>
    <cellStyle name="Comma 13 2 2" xfId="777" xr:uid="{00000000-0005-0000-0000-0000D4020000}"/>
    <cellStyle name="Comma 13 3" xfId="778" xr:uid="{00000000-0005-0000-0000-0000D5020000}"/>
    <cellStyle name="Comma 13 4" xfId="779" xr:uid="{00000000-0005-0000-0000-0000D6020000}"/>
    <cellStyle name="Comma 14" xfId="780" xr:uid="{00000000-0005-0000-0000-0000D7020000}"/>
    <cellStyle name="Comma 14 2" xfId="781" xr:uid="{00000000-0005-0000-0000-0000D8020000}"/>
    <cellStyle name="Comma 14 2 2" xfId="782" xr:uid="{00000000-0005-0000-0000-0000D9020000}"/>
    <cellStyle name="Comma 14 3" xfId="783" xr:uid="{00000000-0005-0000-0000-0000DA020000}"/>
    <cellStyle name="Comma 14 4" xfId="784" xr:uid="{00000000-0005-0000-0000-0000DB020000}"/>
    <cellStyle name="Comma 15" xfId="785" xr:uid="{00000000-0005-0000-0000-0000DC020000}"/>
    <cellStyle name="Comma 15 2" xfId="786" xr:uid="{00000000-0005-0000-0000-0000DD020000}"/>
    <cellStyle name="Comma 16" xfId="787" xr:uid="{00000000-0005-0000-0000-0000DE020000}"/>
    <cellStyle name="Comma 16 2" xfId="788" xr:uid="{00000000-0005-0000-0000-0000DF020000}"/>
    <cellStyle name="Comma 16 2 2" xfId="789" xr:uid="{00000000-0005-0000-0000-0000E0020000}"/>
    <cellStyle name="Comma 16 3" xfId="790" xr:uid="{00000000-0005-0000-0000-0000E1020000}"/>
    <cellStyle name="Comma 16 4" xfId="791" xr:uid="{00000000-0005-0000-0000-0000E2020000}"/>
    <cellStyle name="Comma 17" xfId="792" xr:uid="{00000000-0005-0000-0000-0000E3020000}"/>
    <cellStyle name="Comma 17 2" xfId="793" xr:uid="{00000000-0005-0000-0000-0000E4020000}"/>
    <cellStyle name="Comma 18" xfId="794" xr:uid="{00000000-0005-0000-0000-0000E5020000}"/>
    <cellStyle name="Comma 18 2" xfId="795" xr:uid="{00000000-0005-0000-0000-0000E6020000}"/>
    <cellStyle name="Comma 18 3" xfId="796" xr:uid="{00000000-0005-0000-0000-0000E7020000}"/>
    <cellStyle name="Comma 19" xfId="797" xr:uid="{00000000-0005-0000-0000-0000E8020000}"/>
    <cellStyle name="Comma 19 2" xfId="798" xr:uid="{00000000-0005-0000-0000-0000E9020000}"/>
    <cellStyle name="Comma 19 2 2" xfId="799" xr:uid="{00000000-0005-0000-0000-0000EA020000}"/>
    <cellStyle name="Comma 19 3" xfId="800" xr:uid="{00000000-0005-0000-0000-0000EB020000}"/>
    <cellStyle name="Comma 2" xfId="24" xr:uid="{00000000-0005-0000-0000-0000EC020000}"/>
    <cellStyle name="Comma 2 2" xfId="802" xr:uid="{00000000-0005-0000-0000-0000ED020000}"/>
    <cellStyle name="Comma 2 2 2" xfId="803" xr:uid="{00000000-0005-0000-0000-0000EE020000}"/>
    <cellStyle name="Comma 2 3" xfId="45" xr:uid="{00000000-0005-0000-0000-0000EF020000}"/>
    <cellStyle name="Comma 2 3 2" xfId="805" xr:uid="{00000000-0005-0000-0000-0000F0020000}"/>
    <cellStyle name="Comma 2 3 3" xfId="806" xr:uid="{00000000-0005-0000-0000-0000F1020000}"/>
    <cellStyle name="Comma 2 3 4" xfId="804" xr:uid="{00000000-0005-0000-0000-0000F2020000}"/>
    <cellStyle name="Comma 2 4" xfId="807" xr:uid="{00000000-0005-0000-0000-0000F3020000}"/>
    <cellStyle name="Comma 2 5" xfId="808" xr:uid="{00000000-0005-0000-0000-0000F4020000}"/>
    <cellStyle name="Comma 2 6" xfId="809" xr:uid="{00000000-0005-0000-0000-0000F5020000}"/>
    <cellStyle name="Comma 2 7" xfId="810" xr:uid="{00000000-0005-0000-0000-0000F6020000}"/>
    <cellStyle name="Comma 2 8" xfId="811" xr:uid="{00000000-0005-0000-0000-0000F7020000}"/>
    <cellStyle name="Comma 2 9" xfId="801" xr:uid="{00000000-0005-0000-0000-0000F8020000}"/>
    <cellStyle name="Comma 2_131021 TDT VON DAU TU 2014 (CT MTQG) GUI TONG HOP" xfId="812" xr:uid="{00000000-0005-0000-0000-0000F9020000}"/>
    <cellStyle name="Comma 20" xfId="813" xr:uid="{00000000-0005-0000-0000-0000FA020000}"/>
    <cellStyle name="Comma 20 2" xfId="814" xr:uid="{00000000-0005-0000-0000-0000FB020000}"/>
    <cellStyle name="Comma 20 3" xfId="815" xr:uid="{00000000-0005-0000-0000-0000FC020000}"/>
    <cellStyle name="Comma 21" xfId="816" xr:uid="{00000000-0005-0000-0000-0000FD020000}"/>
    <cellStyle name="Comma 21 2" xfId="817" xr:uid="{00000000-0005-0000-0000-0000FE020000}"/>
    <cellStyle name="Comma 21 3" xfId="818" xr:uid="{00000000-0005-0000-0000-0000FF020000}"/>
    <cellStyle name="Comma 22" xfId="819" xr:uid="{00000000-0005-0000-0000-000000030000}"/>
    <cellStyle name="Comma 22 2" xfId="820" xr:uid="{00000000-0005-0000-0000-000001030000}"/>
    <cellStyle name="Comma 23" xfId="821" xr:uid="{00000000-0005-0000-0000-000002030000}"/>
    <cellStyle name="Comma 24" xfId="822" xr:uid="{00000000-0005-0000-0000-000003030000}"/>
    <cellStyle name="Comma 25" xfId="823" xr:uid="{00000000-0005-0000-0000-000004030000}"/>
    <cellStyle name="Comma 26" xfId="824" xr:uid="{00000000-0005-0000-0000-000005030000}"/>
    <cellStyle name="Comma 27" xfId="825" xr:uid="{00000000-0005-0000-0000-000006030000}"/>
    <cellStyle name="Comma 28" xfId="826" xr:uid="{00000000-0005-0000-0000-000007030000}"/>
    <cellStyle name="Comma 29" xfId="827" xr:uid="{00000000-0005-0000-0000-000008030000}"/>
    <cellStyle name="Comma 3" xfId="20" xr:uid="{00000000-0005-0000-0000-000009030000}"/>
    <cellStyle name="Comma 3 2" xfId="25" xr:uid="{00000000-0005-0000-0000-00000A030000}"/>
    <cellStyle name="Comma 3 2 2" xfId="830" xr:uid="{00000000-0005-0000-0000-00000B030000}"/>
    <cellStyle name="Comma 3 2 2 2" xfId="831" xr:uid="{00000000-0005-0000-0000-00000C030000}"/>
    <cellStyle name="Comma 3 2 3" xfId="832" xr:uid="{00000000-0005-0000-0000-00000D030000}"/>
    <cellStyle name="Comma 3 2 4" xfId="829" xr:uid="{00000000-0005-0000-0000-00000E030000}"/>
    <cellStyle name="Comma 3 3" xfId="833" xr:uid="{00000000-0005-0000-0000-00000F030000}"/>
    <cellStyle name="Comma 3 3 2" xfId="834" xr:uid="{00000000-0005-0000-0000-000010030000}"/>
    <cellStyle name="Comma 3 4" xfId="835" xr:uid="{00000000-0005-0000-0000-000011030000}"/>
    <cellStyle name="Comma 3 5" xfId="828" xr:uid="{00000000-0005-0000-0000-000012030000}"/>
    <cellStyle name="Comma 3_Quyết toán vốn NSTP 2017 - Gửi chị Huyền" xfId="836" xr:uid="{00000000-0005-0000-0000-000013030000}"/>
    <cellStyle name="Comma 30" xfId="837" xr:uid="{00000000-0005-0000-0000-000014030000}"/>
    <cellStyle name="Comma 31" xfId="838" xr:uid="{00000000-0005-0000-0000-000015030000}"/>
    <cellStyle name="Comma 32" xfId="839" xr:uid="{00000000-0005-0000-0000-000016030000}"/>
    <cellStyle name="Comma 33" xfId="840" xr:uid="{00000000-0005-0000-0000-000017030000}"/>
    <cellStyle name="Comma 34" xfId="841" xr:uid="{00000000-0005-0000-0000-000018030000}"/>
    <cellStyle name="Comma 35" xfId="842" xr:uid="{00000000-0005-0000-0000-000019030000}"/>
    <cellStyle name="Comma 36" xfId="843" xr:uid="{00000000-0005-0000-0000-00001A030000}"/>
    <cellStyle name="Comma 37" xfId="844" xr:uid="{00000000-0005-0000-0000-00001B030000}"/>
    <cellStyle name="Comma 38" xfId="845" xr:uid="{00000000-0005-0000-0000-00001C030000}"/>
    <cellStyle name="Comma 39" xfId="846" xr:uid="{00000000-0005-0000-0000-00001D030000}"/>
    <cellStyle name="Comma 4" xfId="26" xr:uid="{00000000-0005-0000-0000-00001E030000}"/>
    <cellStyle name="Comma 4 2" xfId="848" xr:uid="{00000000-0005-0000-0000-00001F030000}"/>
    <cellStyle name="Comma 4 2 2" xfId="849" xr:uid="{00000000-0005-0000-0000-000020030000}"/>
    <cellStyle name="Comma 4 3" xfId="850" xr:uid="{00000000-0005-0000-0000-000021030000}"/>
    <cellStyle name="Comma 4 4" xfId="851" xr:uid="{00000000-0005-0000-0000-000022030000}"/>
    <cellStyle name="Comma 4 5" xfId="852" xr:uid="{00000000-0005-0000-0000-000023030000}"/>
    <cellStyle name="Comma 4 6" xfId="847" xr:uid="{00000000-0005-0000-0000-000024030000}"/>
    <cellStyle name="Comma 40" xfId="853" xr:uid="{00000000-0005-0000-0000-000025030000}"/>
    <cellStyle name="Comma 41" xfId="854" xr:uid="{00000000-0005-0000-0000-000026030000}"/>
    <cellStyle name="Comma 42" xfId="855" xr:uid="{00000000-0005-0000-0000-000027030000}"/>
    <cellStyle name="Comma 43" xfId="856" xr:uid="{00000000-0005-0000-0000-000028030000}"/>
    <cellStyle name="Comma 44" xfId="857" xr:uid="{00000000-0005-0000-0000-000029030000}"/>
    <cellStyle name="Comma 45" xfId="858" xr:uid="{00000000-0005-0000-0000-00002A030000}"/>
    <cellStyle name="Comma 46" xfId="859" xr:uid="{00000000-0005-0000-0000-00002B030000}"/>
    <cellStyle name="Comma 47" xfId="860" xr:uid="{00000000-0005-0000-0000-00002C030000}"/>
    <cellStyle name="Comma 48" xfId="861" xr:uid="{00000000-0005-0000-0000-00002D030000}"/>
    <cellStyle name="Comma 49" xfId="862" xr:uid="{00000000-0005-0000-0000-00002E030000}"/>
    <cellStyle name="Comma 49 2" xfId="863" xr:uid="{00000000-0005-0000-0000-00002F030000}"/>
    <cellStyle name="Comma 5" xfId="27" xr:uid="{00000000-0005-0000-0000-000030030000}"/>
    <cellStyle name="Comma 5 2" xfId="865" xr:uid="{00000000-0005-0000-0000-000031030000}"/>
    <cellStyle name="Comma 5 3" xfId="866" xr:uid="{00000000-0005-0000-0000-000032030000}"/>
    <cellStyle name="Comma 5 4" xfId="867" xr:uid="{00000000-0005-0000-0000-000033030000}"/>
    <cellStyle name="Comma 5 5" xfId="864" xr:uid="{00000000-0005-0000-0000-000034030000}"/>
    <cellStyle name="Comma 50" xfId="868" xr:uid="{00000000-0005-0000-0000-000035030000}"/>
    <cellStyle name="Comma 51" xfId="869" xr:uid="{00000000-0005-0000-0000-000036030000}"/>
    <cellStyle name="Comma 52" xfId="870" xr:uid="{00000000-0005-0000-0000-000037030000}"/>
    <cellStyle name="Comma 53" xfId="871" xr:uid="{00000000-0005-0000-0000-000038030000}"/>
    <cellStyle name="Comma 54" xfId="872" xr:uid="{00000000-0005-0000-0000-000039030000}"/>
    <cellStyle name="Comma 55" xfId="873" xr:uid="{00000000-0005-0000-0000-00003A030000}"/>
    <cellStyle name="Comma 6" xfId="28" xr:uid="{00000000-0005-0000-0000-00003B030000}"/>
    <cellStyle name="Comma 6 2" xfId="875" xr:uid="{00000000-0005-0000-0000-00003C030000}"/>
    <cellStyle name="Comma 6 2 2" xfId="876" xr:uid="{00000000-0005-0000-0000-00003D030000}"/>
    <cellStyle name="Comma 6 3" xfId="877" xr:uid="{00000000-0005-0000-0000-00003E030000}"/>
    <cellStyle name="Comma 6 4" xfId="878" xr:uid="{00000000-0005-0000-0000-00003F030000}"/>
    <cellStyle name="Comma 6 5" xfId="879" xr:uid="{00000000-0005-0000-0000-000040030000}"/>
    <cellStyle name="Comma 6 6" xfId="874" xr:uid="{00000000-0005-0000-0000-000041030000}"/>
    <cellStyle name="Comma 7" xfId="880" xr:uid="{00000000-0005-0000-0000-000042030000}"/>
    <cellStyle name="Comma 7 2" xfId="881" xr:uid="{00000000-0005-0000-0000-000043030000}"/>
    <cellStyle name="Comma 7 2 2" xfId="882" xr:uid="{00000000-0005-0000-0000-000044030000}"/>
    <cellStyle name="Comma 7 3" xfId="883" xr:uid="{00000000-0005-0000-0000-000045030000}"/>
    <cellStyle name="Comma 7 4" xfId="884" xr:uid="{00000000-0005-0000-0000-000046030000}"/>
    <cellStyle name="Comma 7 5" xfId="885" xr:uid="{00000000-0005-0000-0000-000047030000}"/>
    <cellStyle name="Comma 7_10 QLDT" xfId="886" xr:uid="{00000000-0005-0000-0000-000048030000}"/>
    <cellStyle name="Comma 8" xfId="887" xr:uid="{00000000-0005-0000-0000-000049030000}"/>
    <cellStyle name="Comma 8 2" xfId="888" xr:uid="{00000000-0005-0000-0000-00004A030000}"/>
    <cellStyle name="Comma 8 2 2" xfId="889" xr:uid="{00000000-0005-0000-0000-00004B030000}"/>
    <cellStyle name="Comma 8 2 3" xfId="890" xr:uid="{00000000-0005-0000-0000-00004C030000}"/>
    <cellStyle name="Comma 8 3" xfId="891" xr:uid="{00000000-0005-0000-0000-00004D030000}"/>
    <cellStyle name="Comma 8 3 2" xfId="892" xr:uid="{00000000-0005-0000-0000-00004E030000}"/>
    <cellStyle name="Comma 8 4" xfId="893" xr:uid="{00000000-0005-0000-0000-00004F030000}"/>
    <cellStyle name="Comma 8 5" xfId="894" xr:uid="{00000000-0005-0000-0000-000050030000}"/>
    <cellStyle name="Comma 9" xfId="16" xr:uid="{00000000-0005-0000-0000-000051030000}"/>
    <cellStyle name="Comma 9 2" xfId="896" xr:uid="{00000000-0005-0000-0000-000052030000}"/>
    <cellStyle name="Comma 9 2 2" xfId="897" xr:uid="{00000000-0005-0000-0000-000053030000}"/>
    <cellStyle name="Comma 9 2 3" xfId="898" xr:uid="{00000000-0005-0000-0000-000054030000}"/>
    <cellStyle name="Comma 9 3" xfId="899" xr:uid="{00000000-0005-0000-0000-000055030000}"/>
    <cellStyle name="Comma 9 4" xfId="900" xr:uid="{00000000-0005-0000-0000-000056030000}"/>
    <cellStyle name="Comma 9 5" xfId="901" xr:uid="{00000000-0005-0000-0000-000057030000}"/>
    <cellStyle name="Comma 9 6" xfId="895" xr:uid="{00000000-0005-0000-0000-000058030000}"/>
    <cellStyle name="Comma 9_Quyết toán vốn NSTP 2017 - Gửi chị Huyền" xfId="902" xr:uid="{00000000-0005-0000-0000-000059030000}"/>
    <cellStyle name="comma zerodec" xfId="903" xr:uid="{00000000-0005-0000-0000-00005A030000}"/>
    <cellStyle name="comma zerodec 2" xfId="904" xr:uid="{00000000-0005-0000-0000-00005B030000}"/>
    <cellStyle name="Comma_Sheet1" xfId="37" xr:uid="{00000000-0005-0000-0000-00005C030000}"/>
    <cellStyle name="Comma0" xfId="905" xr:uid="{00000000-0005-0000-0000-00005D030000}"/>
    <cellStyle name="cong" xfId="906" xr:uid="{00000000-0005-0000-0000-00005E030000}"/>
    <cellStyle name="Copied" xfId="907" xr:uid="{00000000-0005-0000-0000-00005F030000}"/>
    <cellStyle name="Co聭ma_Sheet1" xfId="908" xr:uid="{00000000-0005-0000-0000-000060030000}"/>
    <cellStyle name="Cࡵrrency_Sheet1_PRODUCTĠ" xfId="909" xr:uid="{00000000-0005-0000-0000-000061030000}"/>
    <cellStyle name="CT1" xfId="910" xr:uid="{00000000-0005-0000-0000-000062030000}"/>
    <cellStyle name="CT1 2" xfId="911" xr:uid="{00000000-0005-0000-0000-000063030000}"/>
    <cellStyle name="CT2" xfId="912" xr:uid="{00000000-0005-0000-0000-000064030000}"/>
    <cellStyle name="CT2 2" xfId="913" xr:uid="{00000000-0005-0000-0000-000065030000}"/>
    <cellStyle name="CT4" xfId="914" xr:uid="{00000000-0005-0000-0000-000066030000}"/>
    <cellStyle name="CT4 2" xfId="915" xr:uid="{00000000-0005-0000-0000-000067030000}"/>
    <cellStyle name="CT5" xfId="916" xr:uid="{00000000-0005-0000-0000-000068030000}"/>
    <cellStyle name="CT5 2" xfId="917" xr:uid="{00000000-0005-0000-0000-000069030000}"/>
    <cellStyle name="ct7" xfId="918" xr:uid="{00000000-0005-0000-0000-00006A030000}"/>
    <cellStyle name="ct7 2" xfId="919" xr:uid="{00000000-0005-0000-0000-00006B030000}"/>
    <cellStyle name="ct8" xfId="920" xr:uid="{00000000-0005-0000-0000-00006C030000}"/>
    <cellStyle name="ct8 2" xfId="921" xr:uid="{00000000-0005-0000-0000-00006D030000}"/>
    <cellStyle name="cth1" xfId="922" xr:uid="{00000000-0005-0000-0000-00006E030000}"/>
    <cellStyle name="cth1 2" xfId="923" xr:uid="{00000000-0005-0000-0000-00006F030000}"/>
    <cellStyle name="Cthuc" xfId="924" xr:uid="{00000000-0005-0000-0000-000070030000}"/>
    <cellStyle name="Cthuc1" xfId="925" xr:uid="{00000000-0005-0000-0000-000071030000}"/>
    <cellStyle name="Currency [0] 2" xfId="926" xr:uid="{00000000-0005-0000-0000-000072030000}"/>
    <cellStyle name="Currency [00]" xfId="927" xr:uid="{00000000-0005-0000-0000-000073030000}"/>
    <cellStyle name="Currency 2" xfId="928" xr:uid="{00000000-0005-0000-0000-000074030000}"/>
    <cellStyle name="Currency0" xfId="929" xr:uid="{00000000-0005-0000-0000-000075030000}"/>
    <cellStyle name="Currency1" xfId="930" xr:uid="{00000000-0005-0000-0000-000076030000}"/>
    <cellStyle name="Currency1 2" xfId="931" xr:uid="{00000000-0005-0000-0000-000077030000}"/>
    <cellStyle name="Currency1 3" xfId="932" xr:uid="{00000000-0005-0000-0000-000078030000}"/>
    <cellStyle name="Currency1_PL1 " xfId="933" xr:uid="{00000000-0005-0000-0000-000079030000}"/>
    <cellStyle name="d" xfId="934" xr:uid="{00000000-0005-0000-0000-00008A030000}"/>
    <cellStyle name="d%" xfId="935" xr:uid="{00000000-0005-0000-0000-00008B030000}"/>
    <cellStyle name="d% 2" xfId="936" xr:uid="{00000000-0005-0000-0000-00008C030000}"/>
    <cellStyle name="d% 3" xfId="937" xr:uid="{00000000-0005-0000-0000-00008D030000}"/>
    <cellStyle name="d1" xfId="938" xr:uid="{00000000-0005-0000-0000-00008E030000}"/>
    <cellStyle name="Date" xfId="939" xr:uid="{00000000-0005-0000-0000-00008F030000}"/>
    <cellStyle name="Date 2" xfId="940" xr:uid="{00000000-0005-0000-0000-000090030000}"/>
    <cellStyle name="Date Short" xfId="941" xr:uid="{00000000-0005-0000-0000-000091030000}"/>
    <cellStyle name="Date_Book1" xfId="942" xr:uid="{00000000-0005-0000-0000-000092030000}"/>
    <cellStyle name="Dấu phẩy" xfId="2" builtinId="3"/>
    <cellStyle name="Dấu phảy [0] 2" xfId="29" xr:uid="{00000000-0005-0000-0000-000094030000}"/>
    <cellStyle name="Dấu phảy [0] 2 2" xfId="945" xr:uid="{00000000-0005-0000-0000-000095030000}"/>
    <cellStyle name="Dấu phảy [0] 2 3" xfId="946" xr:uid="{00000000-0005-0000-0000-000096030000}"/>
    <cellStyle name="Dấu phảy [0] 2 4" xfId="944" xr:uid="{00000000-0005-0000-0000-000097030000}"/>
    <cellStyle name="Dấu phảy 2" xfId="947" xr:uid="{00000000-0005-0000-0000-000098030000}"/>
    <cellStyle name="Dấu phảy 3" xfId="948" xr:uid="{00000000-0005-0000-0000-000099030000}"/>
    <cellStyle name="Dấu phảy 3 2" xfId="949" xr:uid="{00000000-0005-0000-0000-00009A030000}"/>
    <cellStyle name="Dấu phảy 4" xfId="950" xr:uid="{00000000-0005-0000-0000-00009B030000}"/>
    <cellStyle name="Dấu phảy 5" xfId="951" xr:uid="{00000000-0005-0000-0000-00009C030000}"/>
    <cellStyle name="Dấu phảy 5 2" xfId="952" xr:uid="{00000000-0005-0000-0000-00009D030000}"/>
    <cellStyle name="Dấu phảy 5 3" xfId="953" xr:uid="{00000000-0005-0000-0000-00009E030000}"/>
    <cellStyle name="Đầu ra 2" xfId="955" xr:uid="{00000000-0005-0000-0000-0000F8030000}"/>
    <cellStyle name="Đầu ra 3" xfId="954" xr:uid="{00000000-0005-0000-0000-0000F9030000}"/>
    <cellStyle name="Đầu vào 2" xfId="957" xr:uid="{00000000-0005-0000-0000-0000FA030000}"/>
    <cellStyle name="Đầu vào 3" xfId="956" xr:uid="{00000000-0005-0000-0000-0000FB030000}"/>
    <cellStyle name="Dấu_phảy 2" xfId="943" xr:uid="{00000000-0005-0000-0000-0000A0030000}"/>
    <cellStyle name="DAUDE" xfId="958" xr:uid="{00000000-0005-0000-0000-000093030000}"/>
    <cellStyle name="Đề mục 1 2" xfId="959" xr:uid="{00000000-0005-0000-0000-0000FC030000}"/>
    <cellStyle name="Đề mục 2 2" xfId="960" xr:uid="{00000000-0005-0000-0000-0000FD030000}"/>
    <cellStyle name="Đề mục 3 2" xfId="961" xr:uid="{00000000-0005-0000-0000-0000FE030000}"/>
    <cellStyle name="Đề mục 4 2" xfId="962" xr:uid="{00000000-0005-0000-0000-0000FF030000}"/>
    <cellStyle name="Dezimal [0]_35ERI8T2gbIEMixb4v26icuOo" xfId="963" xr:uid="{00000000-0005-0000-0000-0000A1030000}"/>
    <cellStyle name="Dezimal_35ERI8T2gbIEMixb4v26icuOo" xfId="964" xr:uid="{00000000-0005-0000-0000-0000A2030000}"/>
    <cellStyle name="Dg" xfId="965" xr:uid="{00000000-0005-0000-0000-0000A3030000}"/>
    <cellStyle name="Dg 2" xfId="966" xr:uid="{00000000-0005-0000-0000-0000A4030000}"/>
    <cellStyle name="Dg 3" xfId="967" xr:uid="{00000000-0005-0000-0000-0000A5030000}"/>
    <cellStyle name="Dgia" xfId="968" xr:uid="{00000000-0005-0000-0000-0000A6030000}"/>
    <cellStyle name="Dgia 2" xfId="969" xr:uid="{00000000-0005-0000-0000-0000A7030000}"/>
    <cellStyle name="Dgia 3" xfId="970" xr:uid="{00000000-0005-0000-0000-0000A8030000}"/>
    <cellStyle name="Dollar (zero dec)" xfId="971" xr:uid="{00000000-0005-0000-0000-0000A9030000}"/>
    <cellStyle name="Dollar (zero dec) 2" xfId="972" xr:uid="{00000000-0005-0000-0000-0000AA030000}"/>
    <cellStyle name="Dollar (zero dec) 3" xfId="973" xr:uid="{00000000-0005-0000-0000-0000AB030000}"/>
    <cellStyle name="Dollar (zero dec)_PL1 " xfId="974" xr:uid="{00000000-0005-0000-0000-0000AC030000}"/>
    <cellStyle name="Don gia" xfId="975" xr:uid="{00000000-0005-0000-0000-0000AD030000}"/>
    <cellStyle name="Don gia 2" xfId="976" xr:uid="{00000000-0005-0000-0000-0000AE030000}"/>
    <cellStyle name="Don gia 3" xfId="977" xr:uid="{00000000-0005-0000-0000-0000AF030000}"/>
    <cellStyle name="Dziesi?tny [0]_Invoices2001Slovakia" xfId="978" xr:uid="{00000000-0005-0000-0000-0000B0030000}"/>
    <cellStyle name="Dziesi?tny_Invoices2001Slovakia" xfId="979" xr:uid="{00000000-0005-0000-0000-0000B1030000}"/>
    <cellStyle name="Dziesietny [0]_Invoices2001Slovakia" xfId="980" xr:uid="{00000000-0005-0000-0000-0000B2030000}"/>
    <cellStyle name="Dziesiętny [0]_Invoices2001Slovakia" xfId="981" xr:uid="{00000000-0005-0000-0000-0000B3030000}"/>
    <cellStyle name="Dziesietny [0]_Invoices2001Slovakia 2" xfId="982" xr:uid="{00000000-0005-0000-0000-0000B4030000}"/>
    <cellStyle name="Dziesiętny [0]_Invoices2001Slovakia_01_Nha so 1_Dien" xfId="983" xr:uid="{00000000-0005-0000-0000-0000B5030000}"/>
    <cellStyle name="Dziesietny [0]_Invoices2001Slovakia_10_Nha so 10_Dien1" xfId="984" xr:uid="{00000000-0005-0000-0000-0000B6030000}"/>
    <cellStyle name="Dziesiętny [0]_Invoices2001Slovakia_10_Nha so 10_Dien1" xfId="985" xr:uid="{00000000-0005-0000-0000-0000B7030000}"/>
    <cellStyle name="Dziesietny [0]_Invoices2001Slovakia_Book1" xfId="986" xr:uid="{00000000-0005-0000-0000-0000B8030000}"/>
    <cellStyle name="Dziesiętny [0]_Invoices2001Slovakia_Book1" xfId="987" xr:uid="{00000000-0005-0000-0000-0000B9030000}"/>
    <cellStyle name="Dziesietny [0]_Invoices2001Slovakia_Book1_1" xfId="988" xr:uid="{00000000-0005-0000-0000-0000BA030000}"/>
    <cellStyle name="Dziesiętny [0]_Invoices2001Slovakia_Book1_1" xfId="989" xr:uid="{00000000-0005-0000-0000-0000BB030000}"/>
    <cellStyle name="Dziesietny [0]_Invoices2001Slovakia_Book1_1_Book1" xfId="990" xr:uid="{00000000-0005-0000-0000-0000BC030000}"/>
    <cellStyle name="Dziesiętny [0]_Invoices2001Slovakia_Book1_1_Book1" xfId="991" xr:uid="{00000000-0005-0000-0000-0000BD030000}"/>
    <cellStyle name="Dziesietny [0]_Invoices2001Slovakia_Book1_2" xfId="992" xr:uid="{00000000-0005-0000-0000-0000BE030000}"/>
    <cellStyle name="Dziesiętny [0]_Invoices2001Slovakia_Book1_2" xfId="993" xr:uid="{00000000-0005-0000-0000-0000BF030000}"/>
    <cellStyle name="Dziesietny [0]_Invoices2001Slovakia_Book1_Nhu cau von ung truoc 2011 Tha h Hoa + Nge An gui TW" xfId="994" xr:uid="{00000000-0005-0000-0000-0000C0030000}"/>
    <cellStyle name="Dziesiętny [0]_Invoices2001Slovakia_Book1_Nhu cau von ung truoc 2011 Tha h Hoa + Nge An gui TW" xfId="995" xr:uid="{00000000-0005-0000-0000-0000C1030000}"/>
    <cellStyle name="Dziesietny [0]_Invoices2001Slovakia_Book1_Tong hop Cac tuyen(9-1-06)" xfId="996" xr:uid="{00000000-0005-0000-0000-0000C2030000}"/>
    <cellStyle name="Dziesiętny [0]_Invoices2001Slovakia_Book1_Tong hop Cac tuyen(9-1-06)" xfId="997" xr:uid="{00000000-0005-0000-0000-0000C3030000}"/>
    <cellStyle name="Dziesietny [0]_Invoices2001Slovakia_Book1_ung truoc 2011 NSTW Thanh Hoa + Nge An gui Thu 12-5" xfId="998" xr:uid="{00000000-0005-0000-0000-0000C4030000}"/>
    <cellStyle name="Dziesiętny [0]_Invoices2001Slovakia_Book1_ung truoc 2011 NSTW Thanh Hoa + Nge An gui Thu 12-5" xfId="999" xr:uid="{00000000-0005-0000-0000-0000C5030000}"/>
    <cellStyle name="Dziesietny [0]_Invoices2001Slovakia_d-uong+TDT" xfId="1000" xr:uid="{00000000-0005-0000-0000-0000C6030000}"/>
    <cellStyle name="Dziesiętny [0]_Invoices2001Slovakia_Nhµ ®Ó xe" xfId="1001" xr:uid="{00000000-0005-0000-0000-0000C7030000}"/>
    <cellStyle name="Dziesietny [0]_Invoices2001Slovakia_Nha bao ve(28-7-05)" xfId="1002" xr:uid="{00000000-0005-0000-0000-0000C8030000}"/>
    <cellStyle name="Dziesiętny [0]_Invoices2001Slovakia_Nha bao ve(28-7-05)" xfId="1003" xr:uid="{00000000-0005-0000-0000-0000C9030000}"/>
    <cellStyle name="Dziesietny [0]_Invoices2001Slovakia_NHA de xe nguyen du" xfId="1004" xr:uid="{00000000-0005-0000-0000-0000CA030000}"/>
    <cellStyle name="Dziesiętny [0]_Invoices2001Slovakia_NHA de xe nguyen du" xfId="1005" xr:uid="{00000000-0005-0000-0000-0000CB030000}"/>
    <cellStyle name="Dziesietny [0]_Invoices2001Slovakia_Nhalamviec VTC(25-1-05)" xfId="1006" xr:uid="{00000000-0005-0000-0000-0000CC030000}"/>
    <cellStyle name="Dziesiętny [0]_Invoices2001Slovakia_Nhalamviec VTC(25-1-05)" xfId="1007" xr:uid="{00000000-0005-0000-0000-0000CD030000}"/>
    <cellStyle name="Dziesietny [0]_Invoices2001Slovakia_Nhu cau von ung truoc 2011 Tha h Hoa + Nge An gui TW" xfId="1008" xr:uid="{00000000-0005-0000-0000-0000CE030000}"/>
    <cellStyle name="Dziesiętny [0]_Invoices2001Slovakia_TDT KHANH HOA" xfId="1009" xr:uid="{00000000-0005-0000-0000-0000CF030000}"/>
    <cellStyle name="Dziesietny [0]_Invoices2001Slovakia_TDT KHANH HOA_Tong hop Cac tuyen(9-1-06)" xfId="1010" xr:uid="{00000000-0005-0000-0000-0000D0030000}"/>
    <cellStyle name="Dziesiętny [0]_Invoices2001Slovakia_TDT KHANH HOA_Tong hop Cac tuyen(9-1-06)" xfId="1011" xr:uid="{00000000-0005-0000-0000-0000D1030000}"/>
    <cellStyle name="Dziesietny [0]_Invoices2001Slovakia_TDT quangngai" xfId="1012" xr:uid="{00000000-0005-0000-0000-0000D2030000}"/>
    <cellStyle name="Dziesiętny [0]_Invoices2001Slovakia_TDT quangngai" xfId="1013" xr:uid="{00000000-0005-0000-0000-0000D3030000}"/>
    <cellStyle name="Dziesietny [0]_Invoices2001Slovakia_TMDT(10-5-06)" xfId="1014" xr:uid="{00000000-0005-0000-0000-0000D4030000}"/>
    <cellStyle name="Dziesietny_Invoices2001Slovakia" xfId="1015" xr:uid="{00000000-0005-0000-0000-0000D5030000}"/>
    <cellStyle name="Dziesiętny_Invoices2001Slovakia" xfId="1016" xr:uid="{00000000-0005-0000-0000-0000D6030000}"/>
    <cellStyle name="Dziesietny_Invoices2001Slovakia 2" xfId="1017" xr:uid="{00000000-0005-0000-0000-0000D7030000}"/>
    <cellStyle name="Dziesiętny_Invoices2001Slovakia_01_Nha so 1_Dien" xfId="1018" xr:uid="{00000000-0005-0000-0000-0000D8030000}"/>
    <cellStyle name="Dziesietny_Invoices2001Slovakia_10_Nha so 10_Dien1" xfId="1019" xr:uid="{00000000-0005-0000-0000-0000D9030000}"/>
    <cellStyle name="Dziesiętny_Invoices2001Slovakia_10_Nha so 10_Dien1" xfId="1020" xr:uid="{00000000-0005-0000-0000-0000DA030000}"/>
    <cellStyle name="Dziesietny_Invoices2001Slovakia_Book1" xfId="1021" xr:uid="{00000000-0005-0000-0000-0000DB030000}"/>
    <cellStyle name="Dziesiętny_Invoices2001Slovakia_Book1" xfId="1022" xr:uid="{00000000-0005-0000-0000-0000DC030000}"/>
    <cellStyle name="Dziesietny_Invoices2001Slovakia_Book1_1" xfId="1023" xr:uid="{00000000-0005-0000-0000-0000DD030000}"/>
    <cellStyle name="Dziesiętny_Invoices2001Slovakia_Book1_1" xfId="1024" xr:uid="{00000000-0005-0000-0000-0000DE030000}"/>
    <cellStyle name="Dziesietny_Invoices2001Slovakia_Book1_1_Book1" xfId="1025" xr:uid="{00000000-0005-0000-0000-0000DF030000}"/>
    <cellStyle name="Dziesiętny_Invoices2001Slovakia_Book1_1_Book1" xfId="1026" xr:uid="{00000000-0005-0000-0000-0000E0030000}"/>
    <cellStyle name="Dziesietny_Invoices2001Slovakia_Book1_2" xfId="1027" xr:uid="{00000000-0005-0000-0000-0000E1030000}"/>
    <cellStyle name="Dziesiętny_Invoices2001Slovakia_Book1_2" xfId="1028" xr:uid="{00000000-0005-0000-0000-0000E2030000}"/>
    <cellStyle name="Dziesietny_Invoices2001Slovakia_Book1_Nhu cau von ung truoc 2011 Tha h Hoa + Nge An gui TW" xfId="1029" xr:uid="{00000000-0005-0000-0000-0000E3030000}"/>
    <cellStyle name="Dziesiętny_Invoices2001Slovakia_Book1_Nhu cau von ung truoc 2011 Tha h Hoa + Nge An gui TW" xfId="1030" xr:uid="{00000000-0005-0000-0000-0000E4030000}"/>
    <cellStyle name="Dziesietny_Invoices2001Slovakia_Book1_Tong hop Cac tuyen(9-1-06)" xfId="1031" xr:uid="{00000000-0005-0000-0000-0000E5030000}"/>
    <cellStyle name="Dziesiętny_Invoices2001Slovakia_Book1_Tong hop Cac tuyen(9-1-06)" xfId="1032" xr:uid="{00000000-0005-0000-0000-0000E6030000}"/>
    <cellStyle name="Dziesietny_Invoices2001Slovakia_Book1_ung truoc 2011 NSTW Thanh Hoa + Nge An gui Thu 12-5" xfId="1033" xr:uid="{00000000-0005-0000-0000-0000E7030000}"/>
    <cellStyle name="Dziesiętny_Invoices2001Slovakia_Book1_ung truoc 2011 NSTW Thanh Hoa + Nge An gui Thu 12-5" xfId="1034" xr:uid="{00000000-0005-0000-0000-0000E8030000}"/>
    <cellStyle name="Dziesietny_Invoices2001Slovakia_d-uong+TDT" xfId="1035" xr:uid="{00000000-0005-0000-0000-0000E9030000}"/>
    <cellStyle name="Dziesiętny_Invoices2001Slovakia_Nhµ ®Ó xe" xfId="1036" xr:uid="{00000000-0005-0000-0000-0000EA030000}"/>
    <cellStyle name="Dziesietny_Invoices2001Slovakia_Nha bao ve(28-7-05)" xfId="1037" xr:uid="{00000000-0005-0000-0000-0000EB030000}"/>
    <cellStyle name="Dziesiętny_Invoices2001Slovakia_Nha bao ve(28-7-05)" xfId="1038" xr:uid="{00000000-0005-0000-0000-0000EC030000}"/>
    <cellStyle name="Dziesietny_Invoices2001Slovakia_NHA de xe nguyen du" xfId="1039" xr:uid="{00000000-0005-0000-0000-0000ED030000}"/>
    <cellStyle name="Dziesiętny_Invoices2001Slovakia_NHA de xe nguyen du" xfId="1040" xr:uid="{00000000-0005-0000-0000-0000EE030000}"/>
    <cellStyle name="Dziesietny_Invoices2001Slovakia_Nhalamviec VTC(25-1-05)" xfId="1041" xr:uid="{00000000-0005-0000-0000-0000EF030000}"/>
    <cellStyle name="Dziesiętny_Invoices2001Slovakia_Nhalamviec VTC(25-1-05)" xfId="1042" xr:uid="{00000000-0005-0000-0000-0000F0030000}"/>
    <cellStyle name="Dziesietny_Invoices2001Slovakia_Nhu cau von ung truoc 2011 Tha h Hoa + Nge An gui TW" xfId="1043" xr:uid="{00000000-0005-0000-0000-0000F1030000}"/>
    <cellStyle name="Dziesiętny_Invoices2001Slovakia_TDT KHANH HOA" xfId="1044" xr:uid="{00000000-0005-0000-0000-0000F2030000}"/>
    <cellStyle name="Dziesietny_Invoices2001Slovakia_TDT KHANH HOA_Tong hop Cac tuyen(9-1-06)" xfId="1045" xr:uid="{00000000-0005-0000-0000-0000F3030000}"/>
    <cellStyle name="Dziesiętny_Invoices2001Slovakia_TDT KHANH HOA_Tong hop Cac tuyen(9-1-06)" xfId="1046" xr:uid="{00000000-0005-0000-0000-0000F4030000}"/>
    <cellStyle name="Dziesietny_Invoices2001Slovakia_TDT quangngai" xfId="1047" xr:uid="{00000000-0005-0000-0000-0000F5030000}"/>
    <cellStyle name="Dziesiętny_Invoices2001Slovakia_TDT quangngai" xfId="1048" xr:uid="{00000000-0005-0000-0000-0000F6030000}"/>
    <cellStyle name="Dziesietny_Invoices2001Slovakia_TMDT(10-5-06)" xfId="1049" xr:uid="{00000000-0005-0000-0000-0000F7030000}"/>
    <cellStyle name="e" xfId="1050" xr:uid="{00000000-0005-0000-0000-000000040000}"/>
    <cellStyle name="Enter Currency (0)" xfId="1051" xr:uid="{00000000-0005-0000-0000-000001040000}"/>
    <cellStyle name="Enter Currency (0) 2" xfId="1052" xr:uid="{00000000-0005-0000-0000-000002040000}"/>
    <cellStyle name="Enter Currency (0) 3" xfId="1053" xr:uid="{00000000-0005-0000-0000-000003040000}"/>
    <cellStyle name="Enter Currency (2)" xfId="1054" xr:uid="{00000000-0005-0000-0000-000004040000}"/>
    <cellStyle name="Enter Units (0)" xfId="1055" xr:uid="{00000000-0005-0000-0000-000005040000}"/>
    <cellStyle name="Enter Units (0) 2" xfId="1056" xr:uid="{00000000-0005-0000-0000-000006040000}"/>
    <cellStyle name="Enter Units (0) 3" xfId="1057" xr:uid="{00000000-0005-0000-0000-000007040000}"/>
    <cellStyle name="Enter Units (1)" xfId="1058" xr:uid="{00000000-0005-0000-0000-000008040000}"/>
    <cellStyle name="Enter Units (1) 2" xfId="1059" xr:uid="{00000000-0005-0000-0000-000009040000}"/>
    <cellStyle name="Enter Units (1) 3" xfId="1060" xr:uid="{00000000-0005-0000-0000-00000A040000}"/>
    <cellStyle name="Enter Units (2)" xfId="1061" xr:uid="{00000000-0005-0000-0000-00000B040000}"/>
    <cellStyle name="Entered" xfId="1062" xr:uid="{00000000-0005-0000-0000-00000C040000}"/>
    <cellStyle name="Euro" xfId="1063" xr:uid="{00000000-0005-0000-0000-00000D040000}"/>
    <cellStyle name="Explanatory Text 2" xfId="1064" xr:uid="{00000000-0005-0000-0000-00000E040000}"/>
    <cellStyle name="Explanatory Text 3" xfId="1065" xr:uid="{00000000-0005-0000-0000-00000F040000}"/>
    <cellStyle name="Explanatory Text 4" xfId="1066" xr:uid="{00000000-0005-0000-0000-000010040000}"/>
    <cellStyle name="f" xfId="1067" xr:uid="{00000000-0005-0000-0000-000011040000}"/>
    <cellStyle name="f_Danhmuc_Quyhoach2009 2" xfId="1068" xr:uid="{00000000-0005-0000-0000-000012040000}"/>
    <cellStyle name="Fixed" xfId="1069" xr:uid="{00000000-0005-0000-0000-000013040000}"/>
    <cellStyle name="Fixed 2" xfId="1070" xr:uid="{00000000-0005-0000-0000-000014040000}"/>
    <cellStyle name="Font Britannic16" xfId="1071" xr:uid="{00000000-0005-0000-0000-000015040000}"/>
    <cellStyle name="Font Britannic18" xfId="1072" xr:uid="{00000000-0005-0000-0000-000016040000}"/>
    <cellStyle name="Font CenturyCond 18" xfId="1073" xr:uid="{00000000-0005-0000-0000-000017040000}"/>
    <cellStyle name="Font Cond20" xfId="1074" xr:uid="{00000000-0005-0000-0000-000018040000}"/>
    <cellStyle name="Font LucidaSans16" xfId="1075" xr:uid="{00000000-0005-0000-0000-000019040000}"/>
    <cellStyle name="Font NewCenturyCond18" xfId="1076" xr:uid="{00000000-0005-0000-0000-00001A040000}"/>
    <cellStyle name="Font Ottawa14" xfId="1077" xr:uid="{00000000-0005-0000-0000-00001B040000}"/>
    <cellStyle name="Font Ottawa16" xfId="1078" xr:uid="{00000000-0005-0000-0000-00001C040000}"/>
    <cellStyle name="Ghi chú 2" xfId="1080" xr:uid="{00000000-0005-0000-0000-00001D040000}"/>
    <cellStyle name="Ghi chú 3" xfId="1079" xr:uid="{00000000-0005-0000-0000-00001E040000}"/>
    <cellStyle name="gia" xfId="1081" xr:uid="{00000000-0005-0000-0000-000024040000}"/>
    <cellStyle name="Good 2" xfId="1082" xr:uid="{00000000-0005-0000-0000-00001F040000}"/>
    <cellStyle name="Good 3" xfId="1083" xr:uid="{00000000-0005-0000-0000-000020040000}"/>
    <cellStyle name="Good 4" xfId="1084" xr:uid="{00000000-0005-0000-0000-000021040000}"/>
    <cellStyle name="Grey" xfId="1085" xr:uid="{00000000-0005-0000-0000-000022040000}"/>
    <cellStyle name="Group" xfId="1086" xr:uid="{00000000-0005-0000-0000-000023040000}"/>
    <cellStyle name="H" xfId="1087" xr:uid="{00000000-0005-0000-0000-000025040000}"/>
    <cellStyle name="ha" xfId="1088" xr:uid="{00000000-0005-0000-0000-000026040000}"/>
    <cellStyle name="HAI" xfId="1089" xr:uid="{00000000-0005-0000-0000-000027040000}"/>
    <cellStyle name="HAI 2" xfId="1090" xr:uid="{00000000-0005-0000-0000-000028040000}"/>
    <cellStyle name="HAI 3" xfId="1091" xr:uid="{00000000-0005-0000-0000-000029040000}"/>
    <cellStyle name="HAI 4" xfId="1092" xr:uid="{00000000-0005-0000-0000-00002A040000}"/>
    <cellStyle name="Head 1" xfId="1093" xr:uid="{00000000-0005-0000-0000-00002B040000}"/>
    <cellStyle name="HEADER" xfId="1094" xr:uid="{00000000-0005-0000-0000-00002C040000}"/>
    <cellStyle name="Header1" xfId="3" xr:uid="{00000000-0005-0000-0000-00002D040000}"/>
    <cellStyle name="Header2" xfId="4" xr:uid="{00000000-0005-0000-0000-00002E040000}"/>
    <cellStyle name="Header2 2" xfId="1095" xr:uid="{00000000-0005-0000-0000-00002F040000}"/>
    <cellStyle name="Heading 1 2" xfId="1096" xr:uid="{00000000-0005-0000-0000-000030040000}"/>
    <cellStyle name="Heading 1 2 2" xfId="1097" xr:uid="{00000000-0005-0000-0000-000031040000}"/>
    <cellStyle name="Heading 1 3" xfId="1098" xr:uid="{00000000-0005-0000-0000-000032040000}"/>
    <cellStyle name="Heading 1 4" xfId="1099" xr:uid="{00000000-0005-0000-0000-000033040000}"/>
    <cellStyle name="Heading 1 5" xfId="1100" xr:uid="{00000000-0005-0000-0000-000034040000}"/>
    <cellStyle name="Heading 2 2" xfId="1101" xr:uid="{00000000-0005-0000-0000-000035040000}"/>
    <cellStyle name="Heading 2 2 2" xfId="1102" xr:uid="{00000000-0005-0000-0000-000036040000}"/>
    <cellStyle name="Heading 2 3" xfId="1103" xr:uid="{00000000-0005-0000-0000-000037040000}"/>
    <cellStyle name="Heading 2 4" xfId="1104" xr:uid="{00000000-0005-0000-0000-000038040000}"/>
    <cellStyle name="Heading 2 5" xfId="1105" xr:uid="{00000000-0005-0000-0000-000039040000}"/>
    <cellStyle name="Heading 3 2" xfId="1106" xr:uid="{00000000-0005-0000-0000-00003A040000}"/>
    <cellStyle name="Heading 3 3" xfId="1107" xr:uid="{00000000-0005-0000-0000-00003B040000}"/>
    <cellStyle name="Heading 3 3 2" xfId="1108" xr:uid="{00000000-0005-0000-0000-00003C040000}"/>
    <cellStyle name="Heading 3 4" xfId="1109" xr:uid="{00000000-0005-0000-0000-00003D040000}"/>
    <cellStyle name="Heading 4 2" xfId="1110" xr:uid="{00000000-0005-0000-0000-00003E040000}"/>
    <cellStyle name="Heading 4 3" xfId="1111" xr:uid="{00000000-0005-0000-0000-00003F040000}"/>
    <cellStyle name="Heading 4 3 2" xfId="1112" xr:uid="{00000000-0005-0000-0000-000040040000}"/>
    <cellStyle name="Heading 4 4" xfId="1113" xr:uid="{00000000-0005-0000-0000-000041040000}"/>
    <cellStyle name="HEADING1" xfId="1114" xr:uid="{00000000-0005-0000-0000-000042040000}"/>
    <cellStyle name="HEADING1 2" xfId="1115" xr:uid="{00000000-0005-0000-0000-000043040000}"/>
    <cellStyle name="HEADING1_KHKT_tong_quat_BK_(Pb_20.3)(1) (1)" xfId="1116" xr:uid="{00000000-0005-0000-0000-000044040000}"/>
    <cellStyle name="HEADING2" xfId="1117" xr:uid="{00000000-0005-0000-0000-000045040000}"/>
    <cellStyle name="HEADING2 2" xfId="1118" xr:uid="{00000000-0005-0000-0000-000046040000}"/>
    <cellStyle name="HEADING2_KHKT_tong_quat_BK_(Pb_20.3)(1) (1)" xfId="1119" xr:uid="{00000000-0005-0000-0000-000047040000}"/>
    <cellStyle name="HEADINGS" xfId="1120" xr:uid="{00000000-0005-0000-0000-000048040000}"/>
    <cellStyle name="HEADINGSTOP" xfId="1121" xr:uid="{00000000-0005-0000-0000-000049040000}"/>
    <cellStyle name="headoption" xfId="1122" xr:uid="{00000000-0005-0000-0000-00004A040000}"/>
    <cellStyle name="Hoa-Scholl" xfId="1123" xr:uid="{00000000-0005-0000-0000-00004B040000}"/>
    <cellStyle name="HUY" xfId="1124" xr:uid="{00000000-0005-0000-0000-00004C040000}"/>
    <cellStyle name="Hyperlink 2" xfId="30" xr:uid="{00000000-0005-0000-0000-00004D040000}"/>
    <cellStyle name="i phÝ kh¸c_B¶ng 2" xfId="1125" xr:uid="{00000000-0005-0000-0000-00004E040000}"/>
    <cellStyle name="I.3" xfId="1126" xr:uid="{00000000-0005-0000-0000-00004F040000}"/>
    <cellStyle name="i·0" xfId="1127" xr:uid="{00000000-0005-0000-0000-000050040000}"/>
    <cellStyle name="ï-¾È»ê_BiÓu TB" xfId="1128" xr:uid="{00000000-0005-0000-0000-000051040000}"/>
    <cellStyle name="Input [yellow]" xfId="1129" xr:uid="{00000000-0005-0000-0000-000052040000}"/>
    <cellStyle name="Input 2" xfId="1130" xr:uid="{00000000-0005-0000-0000-000053040000}"/>
    <cellStyle name="Input 3" xfId="1131" xr:uid="{00000000-0005-0000-0000-000054040000}"/>
    <cellStyle name="Input 4" xfId="1132" xr:uid="{00000000-0005-0000-0000-000055040000}"/>
    <cellStyle name="Input 5" xfId="1133" xr:uid="{00000000-0005-0000-0000-000056040000}"/>
    <cellStyle name="Input 5 2" xfId="1134" xr:uid="{00000000-0005-0000-0000-000057040000}"/>
    <cellStyle name="Input 6" xfId="1135" xr:uid="{00000000-0005-0000-0000-000058040000}"/>
    <cellStyle name="Input 7" xfId="1136" xr:uid="{00000000-0005-0000-0000-000059040000}"/>
    <cellStyle name="k" xfId="1137" xr:uid="{00000000-0005-0000-0000-00005A040000}"/>
    <cellStyle name="k_TONG HOP KINH PHI" xfId="1138" xr:uid="{00000000-0005-0000-0000-00005B040000}"/>
    <cellStyle name="k_TONG HOP KINH PHI_131114- Bieu giao du toan CTMTQG 2014 giao" xfId="1139" xr:uid="{00000000-0005-0000-0000-00005C040000}"/>
    <cellStyle name="k_ÿÿÿÿÿ" xfId="1140" xr:uid="{00000000-0005-0000-0000-00005D040000}"/>
    <cellStyle name="k_ÿÿÿÿÿ_1" xfId="1141" xr:uid="{00000000-0005-0000-0000-00005E040000}"/>
    <cellStyle name="k_ÿÿÿÿÿ_131114- Bieu giao du toan CTMTQG 2014 giao" xfId="1142" xr:uid="{00000000-0005-0000-0000-00005F040000}"/>
    <cellStyle name="k_ÿÿÿÿÿ_2" xfId="1143" xr:uid="{00000000-0005-0000-0000-000060040000}"/>
    <cellStyle name="k_ÿÿÿÿÿ_2_131114- Bieu giao du toan CTMTQG 2014 giao" xfId="1144" xr:uid="{00000000-0005-0000-0000-000061040000}"/>
    <cellStyle name="kh¸c_Bang Chi tieu" xfId="1145" xr:uid="{00000000-0005-0000-0000-000063040000}"/>
    <cellStyle name="khanh" xfId="1146" xr:uid="{00000000-0005-0000-0000-000064040000}"/>
    <cellStyle name="khung" xfId="1147" xr:uid="{00000000-0005-0000-0000-000065040000}"/>
    <cellStyle name="Kiểu 1" xfId="31" xr:uid="{00000000-0005-0000-0000-000062040000}"/>
    <cellStyle name="Ledger 17 x 11 in" xfId="1148" xr:uid="{00000000-0005-0000-0000-000066040000}"/>
    <cellStyle name="Ledger 17 x 11 in 2" xfId="1149" xr:uid="{00000000-0005-0000-0000-000067040000}"/>
    <cellStyle name="Ledger 17 x 11 in 2 2" xfId="1150" xr:uid="{00000000-0005-0000-0000-000068040000}"/>
    <cellStyle name="Ledger 17 x 11 in 3" xfId="1151" xr:uid="{00000000-0005-0000-0000-000069040000}"/>
    <cellStyle name="Ledger 17 x 11 in 4" xfId="1152" xr:uid="{00000000-0005-0000-0000-00006A040000}"/>
    <cellStyle name="Ledger 17 x 11 in 5" xfId="1153" xr:uid="{00000000-0005-0000-0000-00006B040000}"/>
    <cellStyle name="Ledger 17 x 11 in 6" xfId="1154" xr:uid="{00000000-0005-0000-0000-00006C040000}"/>
    <cellStyle name="Ledger 17 x 11 in_PB 1-2 KHKT Bac Kan" xfId="1155" xr:uid="{00000000-0005-0000-0000-00006D040000}"/>
    <cellStyle name="left" xfId="1156" xr:uid="{00000000-0005-0000-0000-00006E040000}"/>
    <cellStyle name="Line" xfId="1157" xr:uid="{00000000-0005-0000-0000-00006F040000}"/>
    <cellStyle name="Link Currency (0)" xfId="1158" xr:uid="{00000000-0005-0000-0000-000070040000}"/>
    <cellStyle name="Link Currency (0) 2" xfId="1159" xr:uid="{00000000-0005-0000-0000-000071040000}"/>
    <cellStyle name="Link Currency (0) 3" xfId="1160" xr:uid="{00000000-0005-0000-0000-000072040000}"/>
    <cellStyle name="Link Currency (2)" xfId="1161" xr:uid="{00000000-0005-0000-0000-000073040000}"/>
    <cellStyle name="Link Units (0)" xfId="1162" xr:uid="{00000000-0005-0000-0000-000074040000}"/>
    <cellStyle name="Link Units (0) 2" xfId="1163" xr:uid="{00000000-0005-0000-0000-000075040000}"/>
    <cellStyle name="Link Units (0) 3" xfId="1164" xr:uid="{00000000-0005-0000-0000-000076040000}"/>
    <cellStyle name="Link Units (1)" xfId="1165" xr:uid="{00000000-0005-0000-0000-000077040000}"/>
    <cellStyle name="Link Units (1) 2" xfId="1166" xr:uid="{00000000-0005-0000-0000-000078040000}"/>
    <cellStyle name="Link Units (1) 3" xfId="1167" xr:uid="{00000000-0005-0000-0000-000079040000}"/>
    <cellStyle name="Link Units (2)" xfId="1168" xr:uid="{00000000-0005-0000-0000-00007A040000}"/>
    <cellStyle name="Linked Cell 2" xfId="1169" xr:uid="{00000000-0005-0000-0000-00007B040000}"/>
    <cellStyle name="Linked Cell 3" xfId="1170" xr:uid="{00000000-0005-0000-0000-00007C040000}"/>
    <cellStyle name="Linked Cell 4" xfId="1171" xr:uid="{00000000-0005-0000-0000-00007D040000}"/>
    <cellStyle name="Loai CBDT" xfId="1172" xr:uid="{00000000-0005-0000-0000-00007E040000}"/>
    <cellStyle name="Loai CT" xfId="1173" xr:uid="{00000000-0005-0000-0000-00007F040000}"/>
    <cellStyle name="Loai GD" xfId="1174" xr:uid="{00000000-0005-0000-0000-000080040000}"/>
    <cellStyle name="luc" xfId="1175" xr:uid="{00000000-0005-0000-0000-000081040000}"/>
    <cellStyle name="luc2" xfId="1176" xr:uid="{00000000-0005-0000-0000-000082040000}"/>
    <cellStyle name="MAU" xfId="1177" xr:uid="{00000000-0005-0000-0000-000083040000}"/>
    <cellStyle name="Millares [0]_Well Timing" xfId="1178" xr:uid="{00000000-0005-0000-0000-000084040000}"/>
    <cellStyle name="Millares_Well Timing" xfId="1179" xr:uid="{00000000-0005-0000-0000-000085040000}"/>
    <cellStyle name="Milliers [0]_      " xfId="1180" xr:uid="{00000000-0005-0000-0000-000086040000}"/>
    <cellStyle name="Milliers_      " xfId="1181" xr:uid="{00000000-0005-0000-0000-000087040000}"/>
    <cellStyle name="Môc" xfId="1182" xr:uid="{00000000-0005-0000-0000-000091040000}"/>
    <cellStyle name="Môc 2" xfId="1183" xr:uid="{00000000-0005-0000-0000-000092040000}"/>
    <cellStyle name="Model" xfId="1184" xr:uid="{00000000-0005-0000-0000-000088040000}"/>
    <cellStyle name="moi" xfId="1185" xr:uid="{00000000-0005-0000-0000-000089040000}"/>
    <cellStyle name="moi 2" xfId="1186" xr:uid="{00000000-0005-0000-0000-00008A040000}"/>
    <cellStyle name="moi 3" xfId="1187" xr:uid="{00000000-0005-0000-0000-00008B040000}"/>
    <cellStyle name="moi 4" xfId="1188" xr:uid="{00000000-0005-0000-0000-00008C040000}"/>
    <cellStyle name="Moneda [0]_Well Timing" xfId="1189" xr:uid="{00000000-0005-0000-0000-00008D040000}"/>
    <cellStyle name="Moneda_Well Timing" xfId="1190" xr:uid="{00000000-0005-0000-0000-00008E040000}"/>
    <cellStyle name="Monétaire [0]_      " xfId="1191" xr:uid="{00000000-0005-0000-0000-00008F040000}"/>
    <cellStyle name="Monétaire_      " xfId="1192" xr:uid="{00000000-0005-0000-0000-000090040000}"/>
    <cellStyle name="n" xfId="1193" xr:uid="{00000000-0005-0000-0000-000093040000}"/>
    <cellStyle name="n1" xfId="1194" xr:uid="{00000000-0005-0000-0000-000094040000}"/>
    <cellStyle name="Neutral 2" xfId="1195" xr:uid="{00000000-0005-0000-0000-000095040000}"/>
    <cellStyle name="Neutral 3" xfId="1196" xr:uid="{00000000-0005-0000-0000-000096040000}"/>
    <cellStyle name="Neutral 4" xfId="1197" xr:uid="{00000000-0005-0000-0000-000097040000}"/>
    <cellStyle name="New Times Roman" xfId="1198" xr:uid="{00000000-0005-0000-0000-000098040000}"/>
    <cellStyle name="New Times Roman 2" xfId="1199" xr:uid="{00000000-0005-0000-0000-000099040000}"/>
    <cellStyle name="nga" xfId="1200" xr:uid="{00000000-0005-0000-0000-0000C6050000}"/>
    <cellStyle name="no dec" xfId="1201" xr:uid="{00000000-0005-0000-0000-00009A040000}"/>
    <cellStyle name="no dec 2" xfId="1202" xr:uid="{00000000-0005-0000-0000-00009B040000}"/>
    <cellStyle name="ÑONVÒ" xfId="1203" xr:uid="{00000000-0005-0000-0000-00009C040000}"/>
    <cellStyle name="Normal - Style1" xfId="1204" xr:uid="{00000000-0005-0000-0000-00009D040000}"/>
    <cellStyle name="Normal - Style1 2" xfId="14" xr:uid="{00000000-0005-0000-0000-00009E040000}"/>
    <cellStyle name="Normal - Style1 2 2" xfId="1206" xr:uid="{00000000-0005-0000-0000-00009F040000}"/>
    <cellStyle name="Normal - Style1 2 3" xfId="1205" xr:uid="{00000000-0005-0000-0000-0000A0040000}"/>
    <cellStyle name="Normal - Style1 3" xfId="1207" xr:uid="{00000000-0005-0000-0000-0000A1040000}"/>
    <cellStyle name="Normal - Style1 4" xfId="1208" xr:uid="{00000000-0005-0000-0000-0000A2040000}"/>
    <cellStyle name="Normal - Style1 5" xfId="1209" xr:uid="{00000000-0005-0000-0000-0000A3040000}"/>
    <cellStyle name="Normal - Style1_Quyết toán vốn NSTP 2017 - Gửi chị Huyền" xfId="1210" xr:uid="{00000000-0005-0000-0000-0000A4040000}"/>
    <cellStyle name="Normal - 유형1" xfId="1211" xr:uid="{00000000-0005-0000-0000-0000A5040000}"/>
    <cellStyle name="Normal 10" xfId="1212" xr:uid="{00000000-0005-0000-0000-0000A6040000}"/>
    <cellStyle name="Normal 10 2" xfId="1213" xr:uid="{00000000-0005-0000-0000-0000A7040000}"/>
    <cellStyle name="Normal 10 2 2" xfId="1214" xr:uid="{00000000-0005-0000-0000-0000A8040000}"/>
    <cellStyle name="Normal 10 3" xfId="1215" xr:uid="{00000000-0005-0000-0000-0000A9040000}"/>
    <cellStyle name="Normal 10 4" xfId="1216" xr:uid="{00000000-0005-0000-0000-0000AA040000}"/>
    <cellStyle name="Normal 10 5" xfId="1217" xr:uid="{00000000-0005-0000-0000-0000AB040000}"/>
    <cellStyle name="Normal 10 6" xfId="1218" xr:uid="{00000000-0005-0000-0000-0000AC040000}"/>
    <cellStyle name="Normal 108" xfId="1219" xr:uid="{00000000-0005-0000-0000-0000AD040000}"/>
    <cellStyle name="Normal 109" xfId="1220" xr:uid="{00000000-0005-0000-0000-0000AE040000}"/>
    <cellStyle name="Normal 11" xfId="5" xr:uid="{00000000-0005-0000-0000-0000AF040000}"/>
    <cellStyle name="Normal 11 2" xfId="47" xr:uid="{00000000-0005-0000-0000-0000B0040000}"/>
    <cellStyle name="Normal 11 2 2" xfId="1223" xr:uid="{00000000-0005-0000-0000-0000B1040000}"/>
    <cellStyle name="Normal 11 2 3" xfId="1224" xr:uid="{00000000-0005-0000-0000-0000B2040000}"/>
    <cellStyle name="Normal 11 2 4" xfId="1222" xr:uid="{00000000-0005-0000-0000-0000B3040000}"/>
    <cellStyle name="Normal 11 29" xfId="1225" xr:uid="{00000000-0005-0000-0000-0000B4040000}"/>
    <cellStyle name="Normal 11 3" xfId="1226" xr:uid="{00000000-0005-0000-0000-0000B5040000}"/>
    <cellStyle name="Normal 11 4" xfId="1227" xr:uid="{00000000-0005-0000-0000-0000B6040000}"/>
    <cellStyle name="Normal 11 5" xfId="1221" xr:uid="{00000000-0005-0000-0000-0000B7040000}"/>
    <cellStyle name="Normal 110" xfId="1228" xr:uid="{00000000-0005-0000-0000-0000B8040000}"/>
    <cellStyle name="Normal 111" xfId="1229" xr:uid="{00000000-0005-0000-0000-0000B9040000}"/>
    <cellStyle name="Normal 112" xfId="1230" xr:uid="{00000000-0005-0000-0000-0000BA040000}"/>
    <cellStyle name="Normal 113" xfId="1231" xr:uid="{00000000-0005-0000-0000-0000BB040000}"/>
    <cellStyle name="Normal 114" xfId="1232" xr:uid="{00000000-0005-0000-0000-0000BC040000}"/>
    <cellStyle name="Normal 115" xfId="1233" xr:uid="{00000000-0005-0000-0000-0000BD040000}"/>
    <cellStyle name="Normal 117" xfId="1234" xr:uid="{00000000-0005-0000-0000-0000BE040000}"/>
    <cellStyle name="Normal 118" xfId="1235" xr:uid="{00000000-0005-0000-0000-0000BF040000}"/>
    <cellStyle name="Normal 12" xfId="6" xr:uid="{00000000-0005-0000-0000-0000C0040000}"/>
    <cellStyle name="Normal 12 2" xfId="1237" xr:uid="{00000000-0005-0000-0000-0000C1040000}"/>
    <cellStyle name="Normal 12 2 2" xfId="1238" xr:uid="{00000000-0005-0000-0000-0000C2040000}"/>
    <cellStyle name="Normal 12 3" xfId="1239" xr:uid="{00000000-0005-0000-0000-0000C3040000}"/>
    <cellStyle name="Normal 12 4" xfId="1236" xr:uid="{00000000-0005-0000-0000-0000C4040000}"/>
    <cellStyle name="Normal 120" xfId="1240" xr:uid="{00000000-0005-0000-0000-0000C5040000}"/>
    <cellStyle name="Normal 122" xfId="1241" xr:uid="{00000000-0005-0000-0000-0000C6040000}"/>
    <cellStyle name="Normal 124" xfId="1242" xr:uid="{00000000-0005-0000-0000-0000C7040000}"/>
    <cellStyle name="Normal 126" xfId="1243" xr:uid="{00000000-0005-0000-0000-0000C8040000}"/>
    <cellStyle name="Normal 128" xfId="1244" xr:uid="{00000000-0005-0000-0000-0000C9040000}"/>
    <cellStyle name="Normal 13" xfId="1245" xr:uid="{00000000-0005-0000-0000-0000CA040000}"/>
    <cellStyle name="Normal 13 2" xfId="1246" xr:uid="{00000000-0005-0000-0000-0000CB040000}"/>
    <cellStyle name="Normal 13 3" xfId="1247" xr:uid="{00000000-0005-0000-0000-0000CC040000}"/>
    <cellStyle name="Normal 13 3 2" xfId="1248" xr:uid="{00000000-0005-0000-0000-0000CD040000}"/>
    <cellStyle name="Normal 130" xfId="1249" xr:uid="{00000000-0005-0000-0000-0000CE040000}"/>
    <cellStyle name="Normal 130 2" xfId="1250" xr:uid="{00000000-0005-0000-0000-0000CF040000}"/>
    <cellStyle name="Normal 132" xfId="1251" xr:uid="{00000000-0005-0000-0000-0000D0040000}"/>
    <cellStyle name="Normal 134" xfId="1252" xr:uid="{00000000-0005-0000-0000-0000D1040000}"/>
    <cellStyle name="Normal 136" xfId="1253" xr:uid="{00000000-0005-0000-0000-0000D2040000}"/>
    <cellStyle name="Normal 137" xfId="1254" xr:uid="{00000000-0005-0000-0000-0000D3040000}"/>
    <cellStyle name="Normal 138" xfId="1255" xr:uid="{00000000-0005-0000-0000-0000D4040000}"/>
    <cellStyle name="Normal 14" xfId="38" xr:uid="{00000000-0005-0000-0000-0000D5040000}"/>
    <cellStyle name="Normal 14 2" xfId="1256" xr:uid="{00000000-0005-0000-0000-0000D6040000}"/>
    <cellStyle name="Normal 14 2 2" xfId="1257" xr:uid="{00000000-0005-0000-0000-0000D7040000}"/>
    <cellStyle name="Normal 14 3" xfId="1258" xr:uid="{00000000-0005-0000-0000-0000D8040000}"/>
    <cellStyle name="Normal 140" xfId="1259" xr:uid="{00000000-0005-0000-0000-0000D9040000}"/>
    <cellStyle name="Normal 142" xfId="1260" xr:uid="{00000000-0005-0000-0000-0000DA040000}"/>
    <cellStyle name="Normal 144" xfId="1261" xr:uid="{00000000-0005-0000-0000-0000DB040000}"/>
    <cellStyle name="Normal 146" xfId="1262" xr:uid="{00000000-0005-0000-0000-0000DC040000}"/>
    <cellStyle name="Normal 148" xfId="1263" xr:uid="{00000000-0005-0000-0000-0000DD040000}"/>
    <cellStyle name="Normal 15" xfId="1264" xr:uid="{00000000-0005-0000-0000-0000DE040000}"/>
    <cellStyle name="Normal 15 2" xfId="1265" xr:uid="{00000000-0005-0000-0000-0000DF040000}"/>
    <cellStyle name="Normal 15 3" xfId="1266" xr:uid="{00000000-0005-0000-0000-0000E0040000}"/>
    <cellStyle name="Normal 15_quyết toán 2017-ko theo mẫu-thường vụ" xfId="1267" xr:uid="{00000000-0005-0000-0000-0000E1040000}"/>
    <cellStyle name="Normal 150" xfId="1268" xr:uid="{00000000-0005-0000-0000-0000E2040000}"/>
    <cellStyle name="Normal 152" xfId="1269" xr:uid="{00000000-0005-0000-0000-0000E3040000}"/>
    <cellStyle name="Normal 153" xfId="1270" xr:uid="{00000000-0005-0000-0000-0000E4040000}"/>
    <cellStyle name="Normal 155" xfId="1271" xr:uid="{00000000-0005-0000-0000-0000E5040000}"/>
    <cellStyle name="Normal 157" xfId="1272" xr:uid="{00000000-0005-0000-0000-0000E6040000}"/>
    <cellStyle name="Normal 159" xfId="1273" xr:uid="{00000000-0005-0000-0000-0000E7040000}"/>
    <cellStyle name="Normal 16" xfId="1274" xr:uid="{00000000-0005-0000-0000-0000E8040000}"/>
    <cellStyle name="Normal 16 2" xfId="1275" xr:uid="{00000000-0005-0000-0000-0000E9040000}"/>
    <cellStyle name="Normal 16 2 2" xfId="1276" xr:uid="{00000000-0005-0000-0000-0000EA040000}"/>
    <cellStyle name="Normal 16 3" xfId="1277" xr:uid="{00000000-0005-0000-0000-0000EB040000}"/>
    <cellStyle name="Normal 16 4" xfId="1278" xr:uid="{00000000-0005-0000-0000-0000EC040000}"/>
    <cellStyle name="Normal 16_quyết toán 2017-ko theo mẫu-thường vụ" xfId="1279" xr:uid="{00000000-0005-0000-0000-0000ED040000}"/>
    <cellStyle name="Normal 161" xfId="1280" xr:uid="{00000000-0005-0000-0000-0000EE040000}"/>
    <cellStyle name="Normal 163" xfId="1281" xr:uid="{00000000-0005-0000-0000-0000EF040000}"/>
    <cellStyle name="Normal 165" xfId="1282" xr:uid="{00000000-0005-0000-0000-0000F0040000}"/>
    <cellStyle name="Normal 166" xfId="1283" xr:uid="{00000000-0005-0000-0000-0000F1040000}"/>
    <cellStyle name="Normal 168" xfId="1284" xr:uid="{00000000-0005-0000-0000-0000F2040000}"/>
    <cellStyle name="Normal 17" xfId="1285" xr:uid="{00000000-0005-0000-0000-0000F3040000}"/>
    <cellStyle name="Normal 17 2" xfId="1286" xr:uid="{00000000-0005-0000-0000-0000F4040000}"/>
    <cellStyle name="Normal 17 2 2" xfId="1287" xr:uid="{00000000-0005-0000-0000-0000F5040000}"/>
    <cellStyle name="Normal 17 3" xfId="1288" xr:uid="{00000000-0005-0000-0000-0000F6040000}"/>
    <cellStyle name="Normal 17 4" xfId="1289" xr:uid="{00000000-0005-0000-0000-0000F7040000}"/>
    <cellStyle name="Normal 170" xfId="1290" xr:uid="{00000000-0005-0000-0000-0000F8040000}"/>
    <cellStyle name="Normal 172" xfId="1291" xr:uid="{00000000-0005-0000-0000-0000F9040000}"/>
    <cellStyle name="Normal 174" xfId="1292" xr:uid="{00000000-0005-0000-0000-0000FA040000}"/>
    <cellStyle name="Normal 176" xfId="1293" xr:uid="{00000000-0005-0000-0000-0000FB040000}"/>
    <cellStyle name="Normal 178" xfId="1294" xr:uid="{00000000-0005-0000-0000-0000FC040000}"/>
    <cellStyle name="Normal 18" xfId="1295" xr:uid="{00000000-0005-0000-0000-0000FD040000}"/>
    <cellStyle name="Normal 18 2" xfId="1296" xr:uid="{00000000-0005-0000-0000-0000FE040000}"/>
    <cellStyle name="Normal 180" xfId="1297" xr:uid="{00000000-0005-0000-0000-0000FF040000}"/>
    <cellStyle name="Normal 182" xfId="1298" xr:uid="{00000000-0005-0000-0000-000000050000}"/>
    <cellStyle name="Normal 184" xfId="1299" xr:uid="{00000000-0005-0000-0000-000001050000}"/>
    <cellStyle name="Normal 186" xfId="1300" xr:uid="{00000000-0005-0000-0000-000002050000}"/>
    <cellStyle name="Normal 188" xfId="1301" xr:uid="{00000000-0005-0000-0000-000003050000}"/>
    <cellStyle name="Normal 19" xfId="1302" xr:uid="{00000000-0005-0000-0000-000004050000}"/>
    <cellStyle name="Normal 19 2" xfId="1303" xr:uid="{00000000-0005-0000-0000-000005050000}"/>
    <cellStyle name="Normal 190" xfId="1304" xr:uid="{00000000-0005-0000-0000-000006050000}"/>
    <cellStyle name="Normal 192" xfId="1305" xr:uid="{00000000-0005-0000-0000-000007050000}"/>
    <cellStyle name="Normal 194" xfId="1306" xr:uid="{00000000-0005-0000-0000-000008050000}"/>
    <cellStyle name="Normal 195" xfId="1307" xr:uid="{00000000-0005-0000-0000-000009050000}"/>
    <cellStyle name="Normal 196" xfId="1308" xr:uid="{00000000-0005-0000-0000-00000A050000}"/>
    <cellStyle name="Normal 198" xfId="1309" xr:uid="{00000000-0005-0000-0000-00000B050000}"/>
    <cellStyle name="Normal 2" xfId="7" xr:uid="{00000000-0005-0000-0000-00000C050000}"/>
    <cellStyle name="Normal 2 10" xfId="1311" xr:uid="{00000000-0005-0000-0000-00000D050000}"/>
    <cellStyle name="Normal 2 10 2" xfId="1312" xr:uid="{00000000-0005-0000-0000-00000E050000}"/>
    <cellStyle name="Normal 2 11" xfId="1313" xr:uid="{00000000-0005-0000-0000-00000F050000}"/>
    <cellStyle name="Normal 2 12" xfId="1314" xr:uid="{00000000-0005-0000-0000-000010050000}"/>
    <cellStyle name="Normal 2 13" xfId="1310" xr:uid="{00000000-0005-0000-0000-000011050000}"/>
    <cellStyle name="Normal 2 2" xfId="19" xr:uid="{00000000-0005-0000-0000-000012050000}"/>
    <cellStyle name="Normal 2 2 10" xfId="1315" xr:uid="{00000000-0005-0000-0000-000013050000}"/>
    <cellStyle name="Normal 2 2 2" xfId="43" xr:uid="{00000000-0005-0000-0000-000014050000}"/>
    <cellStyle name="Normal 2 2 2 2" xfId="1317" xr:uid="{00000000-0005-0000-0000-000015050000}"/>
    <cellStyle name="Normal 2 2 2 3" xfId="1316" xr:uid="{00000000-0005-0000-0000-000016050000}"/>
    <cellStyle name="Normal 2 2 3" xfId="1318" xr:uid="{00000000-0005-0000-0000-000017050000}"/>
    <cellStyle name="Normal 2 2 3 2" xfId="1319" xr:uid="{00000000-0005-0000-0000-000018050000}"/>
    <cellStyle name="Normal 2 2 4" xfId="1320" xr:uid="{00000000-0005-0000-0000-000019050000}"/>
    <cellStyle name="Normal 2 2 5" xfId="1321" xr:uid="{00000000-0005-0000-0000-00001A050000}"/>
    <cellStyle name="Normal 2 2 6" xfId="1322" xr:uid="{00000000-0005-0000-0000-00001B050000}"/>
    <cellStyle name="Normal 2 2_20.Vinh Phuc" xfId="1323" xr:uid="{00000000-0005-0000-0000-00001C050000}"/>
    <cellStyle name="Normal 2 3" xfId="32" xr:uid="{00000000-0005-0000-0000-00001D050000}"/>
    <cellStyle name="Normal 2 3 2" xfId="1325" xr:uid="{00000000-0005-0000-0000-00001E050000}"/>
    <cellStyle name="Normal 2 3 2 2" xfId="1326" xr:uid="{00000000-0005-0000-0000-00001F050000}"/>
    <cellStyle name="Normal 2 3 3" xfId="1327" xr:uid="{00000000-0005-0000-0000-000020050000}"/>
    <cellStyle name="Normal 2 3 3 2" xfId="1328" xr:uid="{00000000-0005-0000-0000-000021050000}"/>
    <cellStyle name="Normal 2 3 4" xfId="1324" xr:uid="{00000000-0005-0000-0000-000022050000}"/>
    <cellStyle name="Normal 2 3_CTMTQG 2015" xfId="1329" xr:uid="{00000000-0005-0000-0000-000023050000}"/>
    <cellStyle name="Normal 2 4" xfId="17" xr:uid="{00000000-0005-0000-0000-000024050000}"/>
    <cellStyle name="Normal 2 4 2" xfId="1331" xr:uid="{00000000-0005-0000-0000-000025050000}"/>
    <cellStyle name="Normal 2 4 3" xfId="1330" xr:uid="{00000000-0005-0000-0000-000026050000}"/>
    <cellStyle name="Normal 2 5" xfId="1332" xr:uid="{00000000-0005-0000-0000-000027050000}"/>
    <cellStyle name="Normal 2 5 2" xfId="1333" xr:uid="{00000000-0005-0000-0000-000028050000}"/>
    <cellStyle name="Normal 2 5 2 2" xfId="1334" xr:uid="{00000000-0005-0000-0000-000029050000}"/>
    <cellStyle name="Normal 2 5 3" xfId="1335" xr:uid="{00000000-0005-0000-0000-00002A050000}"/>
    <cellStyle name="Normal 2 6" xfId="1336" xr:uid="{00000000-0005-0000-0000-00002B050000}"/>
    <cellStyle name="Normal 2 6 2" xfId="1337" xr:uid="{00000000-0005-0000-0000-00002C050000}"/>
    <cellStyle name="Normal 2 7" xfId="1338" xr:uid="{00000000-0005-0000-0000-00002D050000}"/>
    <cellStyle name="Normal 2 8" xfId="1339" xr:uid="{00000000-0005-0000-0000-00002E050000}"/>
    <cellStyle name="Normal 2 9" xfId="1340" xr:uid="{00000000-0005-0000-0000-00002F050000}"/>
    <cellStyle name="Normal 2_1- DT8a+DT8b-lam DT2014" xfId="1341" xr:uid="{00000000-0005-0000-0000-000030050000}"/>
    <cellStyle name="Normal 20" xfId="1342" xr:uid="{00000000-0005-0000-0000-000031050000}"/>
    <cellStyle name="Normal 20 2" xfId="1343" xr:uid="{00000000-0005-0000-0000-000032050000}"/>
    <cellStyle name="Normal 200" xfId="1344" xr:uid="{00000000-0005-0000-0000-000033050000}"/>
    <cellStyle name="Normal 202" xfId="1345" xr:uid="{00000000-0005-0000-0000-000034050000}"/>
    <cellStyle name="Normal 203" xfId="1346" xr:uid="{00000000-0005-0000-0000-000035050000}"/>
    <cellStyle name="Normal 205" xfId="1347" xr:uid="{00000000-0005-0000-0000-000036050000}"/>
    <cellStyle name="Normal 206" xfId="1348" xr:uid="{00000000-0005-0000-0000-000037050000}"/>
    <cellStyle name="Normal 208" xfId="1349" xr:uid="{00000000-0005-0000-0000-000038050000}"/>
    <cellStyle name="Normal 21" xfId="1350" xr:uid="{00000000-0005-0000-0000-000039050000}"/>
    <cellStyle name="Normal 21 2" xfId="1351" xr:uid="{00000000-0005-0000-0000-00003A050000}"/>
    <cellStyle name="Normal 210" xfId="1352" xr:uid="{00000000-0005-0000-0000-00003B050000}"/>
    <cellStyle name="Normal 212" xfId="1353" xr:uid="{00000000-0005-0000-0000-00003C050000}"/>
    <cellStyle name="Normal 214" xfId="1354" xr:uid="{00000000-0005-0000-0000-00003D050000}"/>
    <cellStyle name="Normal 216" xfId="1355" xr:uid="{00000000-0005-0000-0000-00003E050000}"/>
    <cellStyle name="Normal 22" xfId="1356" xr:uid="{00000000-0005-0000-0000-00003F050000}"/>
    <cellStyle name="Normal 22 2" xfId="1357" xr:uid="{00000000-0005-0000-0000-000040050000}"/>
    <cellStyle name="Normal 23" xfId="1358" xr:uid="{00000000-0005-0000-0000-000041050000}"/>
    <cellStyle name="Normal 23 2" xfId="1359" xr:uid="{00000000-0005-0000-0000-000042050000}"/>
    <cellStyle name="Normal 23 3" xfId="1360" xr:uid="{00000000-0005-0000-0000-000043050000}"/>
    <cellStyle name="Normal 24" xfId="1361" xr:uid="{00000000-0005-0000-0000-000044050000}"/>
    <cellStyle name="Normal 24 2" xfId="1362" xr:uid="{00000000-0005-0000-0000-000045050000}"/>
    <cellStyle name="Normal 24 3" xfId="1363" xr:uid="{00000000-0005-0000-0000-000046050000}"/>
    <cellStyle name="Normal 25" xfId="1364" xr:uid="{00000000-0005-0000-0000-000047050000}"/>
    <cellStyle name="Normal 25 2" xfId="1365" xr:uid="{00000000-0005-0000-0000-000048050000}"/>
    <cellStyle name="Normal 25 3" xfId="1366" xr:uid="{00000000-0005-0000-0000-000049050000}"/>
    <cellStyle name="Normal 26" xfId="1367" xr:uid="{00000000-0005-0000-0000-00004A050000}"/>
    <cellStyle name="Normal 26 2" xfId="1368" xr:uid="{00000000-0005-0000-0000-00004B050000}"/>
    <cellStyle name="Normal 26 3" xfId="1369" xr:uid="{00000000-0005-0000-0000-00004C050000}"/>
    <cellStyle name="Normal 27" xfId="1370" xr:uid="{00000000-0005-0000-0000-00004D050000}"/>
    <cellStyle name="Normal 27 2" xfId="1371" xr:uid="{00000000-0005-0000-0000-00004E050000}"/>
    <cellStyle name="Normal 28" xfId="1372" xr:uid="{00000000-0005-0000-0000-00004F050000}"/>
    <cellStyle name="Normal 28 2" xfId="1373" xr:uid="{00000000-0005-0000-0000-000050050000}"/>
    <cellStyle name="Normal 29" xfId="1374" xr:uid="{00000000-0005-0000-0000-000051050000}"/>
    <cellStyle name="Normal 29 2" xfId="1375" xr:uid="{00000000-0005-0000-0000-000052050000}"/>
    <cellStyle name="Normal 29 2 2" xfId="1376" xr:uid="{00000000-0005-0000-0000-000053050000}"/>
    <cellStyle name="Normal 29 3" xfId="1377" xr:uid="{00000000-0005-0000-0000-000054050000}"/>
    <cellStyle name="Normal 29 4" xfId="1378" xr:uid="{00000000-0005-0000-0000-000055050000}"/>
    <cellStyle name="Normal 3" xfId="8" xr:uid="{00000000-0005-0000-0000-000056050000}"/>
    <cellStyle name="Normal 3 2" xfId="34" xr:uid="{00000000-0005-0000-0000-000057050000}"/>
    <cellStyle name="Normal 3 2 2" xfId="1380" xr:uid="{00000000-0005-0000-0000-000058050000}"/>
    <cellStyle name="Normal 3 2 3" xfId="1381" xr:uid="{00000000-0005-0000-0000-000059050000}"/>
    <cellStyle name="Normal 3 2 4" xfId="1382" xr:uid="{00000000-0005-0000-0000-00005A050000}"/>
    <cellStyle name="Normal 3 2 5" xfId="1383" xr:uid="{00000000-0005-0000-0000-00005B050000}"/>
    <cellStyle name="Normal 3 2_20.Vinh Phuc" xfId="1384" xr:uid="{00000000-0005-0000-0000-00005C050000}"/>
    <cellStyle name="Normal 3 3" xfId="33" xr:uid="{00000000-0005-0000-0000-00005D050000}"/>
    <cellStyle name="Normal 3 3 2" xfId="1386" xr:uid="{00000000-0005-0000-0000-00005E050000}"/>
    <cellStyle name="Normal 3 3 3" xfId="1385" xr:uid="{00000000-0005-0000-0000-00005F050000}"/>
    <cellStyle name="Normal 3 4" xfId="1387" xr:uid="{00000000-0005-0000-0000-000060050000}"/>
    <cellStyle name="Normal 3 4 2" xfId="1388" xr:uid="{00000000-0005-0000-0000-000061050000}"/>
    <cellStyle name="Normal 3 4 3" xfId="1389" xr:uid="{00000000-0005-0000-0000-000062050000}"/>
    <cellStyle name="Normal 3 5" xfId="1390" xr:uid="{00000000-0005-0000-0000-000063050000}"/>
    <cellStyle name="Normal 3 5 2" xfId="1391" xr:uid="{00000000-0005-0000-0000-000064050000}"/>
    <cellStyle name="Normal 3 5 3" xfId="1392" xr:uid="{00000000-0005-0000-0000-000065050000}"/>
    <cellStyle name="Normal 3 6" xfId="1393" xr:uid="{00000000-0005-0000-0000-000066050000}"/>
    <cellStyle name="Normal 3 7" xfId="1379" xr:uid="{00000000-0005-0000-0000-000067050000}"/>
    <cellStyle name="Normal 3 8" xfId="1394" xr:uid="{00000000-0005-0000-0000-000068050000}"/>
    <cellStyle name="Normal 3_131114- Bieu giao du toan CTMTQG 2014 giao" xfId="1395" xr:uid="{00000000-0005-0000-0000-000069050000}"/>
    <cellStyle name="Normal 30" xfId="1396" xr:uid="{00000000-0005-0000-0000-00006A050000}"/>
    <cellStyle name="Normal 31" xfId="1397" xr:uid="{00000000-0005-0000-0000-00006B050000}"/>
    <cellStyle name="Normal 32" xfId="1398" xr:uid="{00000000-0005-0000-0000-00006C050000}"/>
    <cellStyle name="Normal 32 2" xfId="1399" xr:uid="{00000000-0005-0000-0000-00006D050000}"/>
    <cellStyle name="Normal 33" xfId="1400" xr:uid="{00000000-0005-0000-0000-00006E050000}"/>
    <cellStyle name="Normal 34" xfId="1401" xr:uid="{00000000-0005-0000-0000-00006F050000}"/>
    <cellStyle name="Normal 35" xfId="1402" xr:uid="{00000000-0005-0000-0000-000070050000}"/>
    <cellStyle name="Normal 36" xfId="1403" xr:uid="{00000000-0005-0000-0000-000071050000}"/>
    <cellStyle name="Normal 37" xfId="1404" xr:uid="{00000000-0005-0000-0000-000072050000}"/>
    <cellStyle name="Normal 38" xfId="1405" xr:uid="{00000000-0005-0000-0000-000073050000}"/>
    <cellStyle name="Normal 39" xfId="1406" xr:uid="{00000000-0005-0000-0000-000074050000}"/>
    <cellStyle name="Normal 4" xfId="9" xr:uid="{00000000-0005-0000-0000-000075050000}"/>
    <cellStyle name="Normal 4 10" xfId="1408" xr:uid="{00000000-0005-0000-0000-000076050000}"/>
    <cellStyle name="Normal 4 11" xfId="1409" xr:uid="{00000000-0005-0000-0000-000077050000}"/>
    <cellStyle name="Normal 4 12" xfId="1410" xr:uid="{00000000-0005-0000-0000-000078050000}"/>
    <cellStyle name="Normal 4 13" xfId="1411" xr:uid="{00000000-0005-0000-0000-000079050000}"/>
    <cellStyle name="Normal 4 14" xfId="1412" xr:uid="{00000000-0005-0000-0000-00007A050000}"/>
    <cellStyle name="Normal 4 15" xfId="1413" xr:uid="{00000000-0005-0000-0000-00007B050000}"/>
    <cellStyle name="Normal 4 16" xfId="1407" xr:uid="{00000000-0005-0000-0000-00007C050000}"/>
    <cellStyle name="Normal 4 2" xfId="35" xr:uid="{00000000-0005-0000-0000-00007D050000}"/>
    <cellStyle name="Normal 4 2 2" xfId="1415" xr:uid="{00000000-0005-0000-0000-00007E050000}"/>
    <cellStyle name="Normal 4 2 3" xfId="1414" xr:uid="{00000000-0005-0000-0000-00007F050000}"/>
    <cellStyle name="Normal 4 3" xfId="1416" xr:uid="{00000000-0005-0000-0000-000080050000}"/>
    <cellStyle name="Normal 4 4" xfId="1417" xr:uid="{00000000-0005-0000-0000-000081050000}"/>
    <cellStyle name="Normal 4 5" xfId="1418" xr:uid="{00000000-0005-0000-0000-000082050000}"/>
    <cellStyle name="Normal 4 6" xfId="1419" xr:uid="{00000000-0005-0000-0000-000083050000}"/>
    <cellStyle name="Normal 4 7" xfId="1420" xr:uid="{00000000-0005-0000-0000-000084050000}"/>
    <cellStyle name="Normal 4 8" xfId="1421" xr:uid="{00000000-0005-0000-0000-000085050000}"/>
    <cellStyle name="Normal 4 9" xfId="1422" xr:uid="{00000000-0005-0000-0000-000086050000}"/>
    <cellStyle name="Normal 4_130114 Tong hop DT 2013 - HDND thong qua" xfId="1423" xr:uid="{00000000-0005-0000-0000-000087050000}"/>
    <cellStyle name="Normal 40" xfId="1424" xr:uid="{00000000-0005-0000-0000-000088050000}"/>
    <cellStyle name="Normal 41" xfId="1425" xr:uid="{00000000-0005-0000-0000-000089050000}"/>
    <cellStyle name="Normal 42" xfId="1426" xr:uid="{00000000-0005-0000-0000-00008A050000}"/>
    <cellStyle name="Normal 43" xfId="1427" xr:uid="{00000000-0005-0000-0000-00008B050000}"/>
    <cellStyle name="Normal 44" xfId="1428" xr:uid="{00000000-0005-0000-0000-00008C050000}"/>
    <cellStyle name="Normal 45" xfId="1429" xr:uid="{00000000-0005-0000-0000-00008D050000}"/>
    <cellStyle name="Normal 46" xfId="1430" xr:uid="{00000000-0005-0000-0000-00008E050000}"/>
    <cellStyle name="Normal 46 3" xfId="1431" xr:uid="{00000000-0005-0000-0000-00008F050000}"/>
    <cellStyle name="Normal 47" xfId="1432" xr:uid="{00000000-0005-0000-0000-000090050000}"/>
    <cellStyle name="Normal 48" xfId="1433" xr:uid="{00000000-0005-0000-0000-000091050000}"/>
    <cellStyle name="Normal 49" xfId="1434" xr:uid="{00000000-0005-0000-0000-000092050000}"/>
    <cellStyle name="Normal 5" xfId="36" xr:uid="{00000000-0005-0000-0000-000093050000}"/>
    <cellStyle name="Normal 5 2" xfId="1436" xr:uid="{00000000-0005-0000-0000-000094050000}"/>
    <cellStyle name="Normal 5 2 2" xfId="1437" xr:uid="{00000000-0005-0000-0000-000095050000}"/>
    <cellStyle name="Normal 5 3" xfId="1438" xr:uid="{00000000-0005-0000-0000-000096050000}"/>
    <cellStyle name="Normal 5 4" xfId="1439" xr:uid="{00000000-0005-0000-0000-000097050000}"/>
    <cellStyle name="Normal 5 5" xfId="1440" xr:uid="{00000000-0005-0000-0000-000098050000}"/>
    <cellStyle name="Normal 5 6" xfId="1435" xr:uid="{00000000-0005-0000-0000-000099050000}"/>
    <cellStyle name="Normal 5_3. Biểu QT Chi nam 2016 -bieu 5, 6, 7, 8, 9" xfId="1441" xr:uid="{00000000-0005-0000-0000-00009A050000}"/>
    <cellStyle name="Normal 50" xfId="1442" xr:uid="{00000000-0005-0000-0000-00009B050000}"/>
    <cellStyle name="Normal 51" xfId="1443" xr:uid="{00000000-0005-0000-0000-00009C050000}"/>
    <cellStyle name="Normal 52" xfId="1444" xr:uid="{00000000-0005-0000-0000-00009D050000}"/>
    <cellStyle name="Normal 53" xfId="1445" xr:uid="{00000000-0005-0000-0000-00009E050000}"/>
    <cellStyle name="Normal 6" xfId="1446" xr:uid="{00000000-0005-0000-0000-00009F050000}"/>
    <cellStyle name="Normal 6 2" xfId="1447" xr:uid="{00000000-0005-0000-0000-0000A0050000}"/>
    <cellStyle name="Normal 6 2 2" xfId="1448" xr:uid="{00000000-0005-0000-0000-0000A1050000}"/>
    <cellStyle name="Normal 6 3" xfId="1449" xr:uid="{00000000-0005-0000-0000-0000A2050000}"/>
    <cellStyle name="Normal 6 3 2" xfId="1450" xr:uid="{00000000-0005-0000-0000-0000A3050000}"/>
    <cellStyle name="Normal 6 4" xfId="1451" xr:uid="{00000000-0005-0000-0000-0000A4050000}"/>
    <cellStyle name="Normal 6 5" xfId="1452" xr:uid="{00000000-0005-0000-0000-0000A5050000}"/>
    <cellStyle name="Normal 6 6" xfId="1453" xr:uid="{00000000-0005-0000-0000-0000A6050000}"/>
    <cellStyle name="Normal 6_131021 TDT VON DAU TU 2014 (CT MTQG) GUI TONG HOP" xfId="1454" xr:uid="{00000000-0005-0000-0000-0000A7050000}"/>
    <cellStyle name="Normal 7" xfId="1455" xr:uid="{00000000-0005-0000-0000-0000A8050000}"/>
    <cellStyle name="Normal 7 2" xfId="1456" xr:uid="{00000000-0005-0000-0000-0000A9050000}"/>
    <cellStyle name="Normal 7 2 2" xfId="1457" xr:uid="{00000000-0005-0000-0000-0000AA050000}"/>
    <cellStyle name="Normal 7 3" xfId="1458" xr:uid="{00000000-0005-0000-0000-0000AB050000}"/>
    <cellStyle name="Normal 7 4" xfId="1459" xr:uid="{00000000-0005-0000-0000-0000AC050000}"/>
    <cellStyle name="Normal 7_131021 TDT VON DAU TU 2014 (CT MTQG) GUI TONG HOP" xfId="1460" xr:uid="{00000000-0005-0000-0000-0000AD050000}"/>
    <cellStyle name="Normal 8" xfId="1461" xr:uid="{00000000-0005-0000-0000-0000AE050000}"/>
    <cellStyle name="Normal 8 2" xfId="1462" xr:uid="{00000000-0005-0000-0000-0000AF050000}"/>
    <cellStyle name="Normal 8 3" xfId="1463" xr:uid="{00000000-0005-0000-0000-0000B0050000}"/>
    <cellStyle name="Normal 8 3 2" xfId="1464" xr:uid="{00000000-0005-0000-0000-0000B1050000}"/>
    <cellStyle name="Normal 8 4" xfId="1465" xr:uid="{00000000-0005-0000-0000-0000B2050000}"/>
    <cellStyle name="Normal 8 5" xfId="1466" xr:uid="{00000000-0005-0000-0000-0000B3050000}"/>
    <cellStyle name="Normal 9" xfId="18" xr:uid="{00000000-0005-0000-0000-0000B4050000}"/>
    <cellStyle name="Normal 9 2" xfId="1467" xr:uid="{00000000-0005-0000-0000-0000B5050000}"/>
    <cellStyle name="Normal 9 2 2" xfId="1468" xr:uid="{00000000-0005-0000-0000-0000B6050000}"/>
    <cellStyle name="Normal 9 3" xfId="1469" xr:uid="{00000000-0005-0000-0000-0000B7050000}"/>
    <cellStyle name="Normal 9 4" xfId="1470" xr:uid="{00000000-0005-0000-0000-0000B8050000}"/>
    <cellStyle name="Normal 9 5" xfId="1471" xr:uid="{00000000-0005-0000-0000-0000B9050000}"/>
    <cellStyle name="Normal_060719 QN-He thong bieu mau lam du toan chi NSDP Vong I nam 2007 2" xfId="46" xr:uid="{00000000-0005-0000-0000-0000BA050000}"/>
    <cellStyle name="Normal_Bieu mau (CV )" xfId="15" xr:uid="{00000000-0005-0000-0000-0000BB050000}"/>
    <cellStyle name="Normal_Bieu mau (CV ) 2" xfId="39" xr:uid="{00000000-0005-0000-0000-0000BC050000}"/>
    <cellStyle name="Normal_QT thu chi quan ly qua ngan sach" xfId="2289" xr:uid="{FFFED0EC-BC27-4EDB-98F8-4677675A8817}"/>
    <cellStyle name="Normal_Sheet1" xfId="42" xr:uid="{00000000-0005-0000-0000-0000BD050000}"/>
    <cellStyle name="Normal1" xfId="1472" xr:uid="{00000000-0005-0000-0000-0000BE050000}"/>
    <cellStyle name="Normal8" xfId="1473" xr:uid="{00000000-0005-0000-0000-0000BF050000}"/>
    <cellStyle name="Normalny_Cennik obowiazuje od 06-08-2001 r (1)" xfId="1474" xr:uid="{00000000-0005-0000-0000-0000C0050000}"/>
    <cellStyle name="Note 2" xfId="1475" xr:uid="{00000000-0005-0000-0000-0000C1050000}"/>
    <cellStyle name="Note 2 2" xfId="1476" xr:uid="{00000000-0005-0000-0000-0000C2050000}"/>
    <cellStyle name="Note 3" xfId="1477" xr:uid="{00000000-0005-0000-0000-0000C3050000}"/>
    <cellStyle name="Note 4" xfId="1478" xr:uid="{00000000-0005-0000-0000-0000C4050000}"/>
    <cellStyle name="NWM" xfId="1479" xr:uid="{00000000-0005-0000-0000-0000C5050000}"/>
    <cellStyle name="o" xfId="1480" xr:uid="{00000000-0005-0000-0000-0000C7050000}"/>
    <cellStyle name="o 2" xfId="1481" xr:uid="{00000000-0005-0000-0000-0000C8050000}"/>
    <cellStyle name="Ò_x000d_Normal_123569" xfId="1482" xr:uid="{00000000-0005-0000-0000-0000C9050000}"/>
    <cellStyle name="o_Muc thu-chi KB Ha Tay" xfId="1483" xr:uid="{00000000-0005-0000-0000-0000CA050000}"/>
    <cellStyle name="o_Muc thu-chi KB Ha Tay_KHKT_tong_quat_BK_(Pb_20.3)(1) (1)" xfId="1484" xr:uid="{00000000-0005-0000-0000-0000CB050000}"/>
    <cellStyle name="o_Muc thu-chi KB Ha Tay_PL 2 (Nhan su)" xfId="1485" xr:uid="{00000000-0005-0000-0000-0000CC050000}"/>
    <cellStyle name="o_Muc thu-chi KB Ha Tay_PL1 " xfId="1486" xr:uid="{00000000-0005-0000-0000-0000CD050000}"/>
    <cellStyle name="o_Muc thu-chi KB Ha Tay_TINH HNH DOANH NGHIEP GUI KIEM TOAN" xfId="1487" xr:uid="{00000000-0005-0000-0000-0000CE050000}"/>
    <cellStyle name="Œ…‹æØ‚è [0.00]_laroux" xfId="1488" xr:uid="{00000000-0005-0000-0000-0000CF050000}"/>
    <cellStyle name="Œ…‹æØ‚è_laroux" xfId="1489" xr:uid="{00000000-0005-0000-0000-0000D0050000}"/>
    <cellStyle name="oft Excel]_x000d__x000a_Comment=open=/f ‚ðw’è‚·‚é‚ÆAƒ†[ƒU[’è‹`ŠÖ”‚ðŠÖ”“\‚è•t‚¯‚Ìˆê——‚É“o˜^‚·‚é‚±‚Æ‚ª‚Å‚«‚Ü‚·B_x000d__x000a_Maximized" xfId="1490" xr:uid="{00000000-0005-0000-0000-0000D1050000}"/>
    <cellStyle name="oft Excel]_x000d__x000a_Comment=open=/f ‚ðŽw’è‚·‚é‚ÆAƒ†[ƒU[’è‹`ŠÖ”‚ðŠÖ”“\‚è•t‚¯‚Ìˆê——‚É“o˜^‚·‚é‚±‚Æ‚ª‚Å‚«‚Ü‚·B_x000d__x000a_Maximized" xfId="1491" xr:uid="{00000000-0005-0000-0000-0000D2050000}"/>
    <cellStyle name="oft Excel]_x000d__x000a_Comment=The open=/f lines load custom functions into the Paste Function list._x000d__x000a_Maximized=2_x000d__x000a_Basics=1_x000d__x000a_A" xfId="1492" xr:uid="{00000000-0005-0000-0000-0000D3050000}"/>
    <cellStyle name="oft Excel]_x000d__x000a_Comment=The open=/f lines load custom functions into the Paste Function list._x000d__x000a_Maximized=2_x000d__x000a_Basics=1_x000d__x000a_A 2" xfId="1493" xr:uid="{00000000-0005-0000-0000-0000D4050000}"/>
    <cellStyle name="oft Excel]_x000d__x000a_Comment=The open=/f lines load custom functions into the Paste Function list._x000d__x000a_Maximized=2_x000d__x000a_Basics=1_x000d__x000a_A_KHKT_tong_quat_BK_(Pb_20.3)(1) (1)" xfId="1494" xr:uid="{00000000-0005-0000-0000-0000D5050000}"/>
    <cellStyle name="oft Excel]_x000d__x000a_Comment=The open=/f lines load custom functions into the Paste Function list._x000d__x000a_Maximized=3_x000d__x000a_Basics=1_x000d__x000a_A" xfId="1495" xr:uid="{00000000-0005-0000-0000-0000D6050000}"/>
    <cellStyle name="oft Excel]_x000d__x000a_Comment=The open=/f lines load custom functions into the Paste Function list._x000d__x000a_Maximized=3_x000d__x000a_Basics=1_x000d__x000a_A 2" xfId="1496" xr:uid="{00000000-0005-0000-0000-0000D7050000}"/>
    <cellStyle name="omma [0]_Mktg Prog" xfId="1497" xr:uid="{00000000-0005-0000-0000-0000D8050000}"/>
    <cellStyle name="ormal_Sheet1_1" xfId="1498" xr:uid="{00000000-0005-0000-0000-0000D9050000}"/>
    <cellStyle name="Output 2" xfId="1499" xr:uid="{00000000-0005-0000-0000-0000DA050000}"/>
    <cellStyle name="Output 3" xfId="1500" xr:uid="{00000000-0005-0000-0000-0000DB050000}"/>
    <cellStyle name="Output 4" xfId="1501" xr:uid="{00000000-0005-0000-0000-0000DC050000}"/>
    <cellStyle name="p" xfId="1502" xr:uid="{00000000-0005-0000-0000-0000DD050000}"/>
    <cellStyle name="Pattern" xfId="1503" xr:uid="{00000000-0005-0000-0000-0000DE050000}"/>
    <cellStyle name="Pattern 2" xfId="1504" xr:uid="{00000000-0005-0000-0000-0000DF050000}"/>
    <cellStyle name="Pattern 3" xfId="1505" xr:uid="{00000000-0005-0000-0000-0000E0050000}"/>
    <cellStyle name="per.style" xfId="1506" xr:uid="{00000000-0005-0000-0000-0000E1050000}"/>
    <cellStyle name="Percent [0]" xfId="1507" xr:uid="{00000000-0005-0000-0000-0000E2050000}"/>
    <cellStyle name="Percent [0] 2" xfId="1508" xr:uid="{00000000-0005-0000-0000-0000E3050000}"/>
    <cellStyle name="Percent [0] 3" xfId="1509" xr:uid="{00000000-0005-0000-0000-0000E4050000}"/>
    <cellStyle name="Percent [00]" xfId="1510" xr:uid="{00000000-0005-0000-0000-0000E5050000}"/>
    <cellStyle name="Percent [2]" xfId="1511" xr:uid="{00000000-0005-0000-0000-0000E6050000}"/>
    <cellStyle name="Percent 10" xfId="1512" xr:uid="{00000000-0005-0000-0000-0000E7050000}"/>
    <cellStyle name="Percent 2" xfId="1513" xr:uid="{00000000-0005-0000-0000-0000E8050000}"/>
    <cellStyle name="Percent 2 2" xfId="1514" xr:uid="{00000000-0005-0000-0000-0000E9050000}"/>
    <cellStyle name="Percent 2 3" xfId="1515" xr:uid="{00000000-0005-0000-0000-0000EA050000}"/>
    <cellStyle name="Percent 2 4" xfId="1516" xr:uid="{00000000-0005-0000-0000-0000EB050000}"/>
    <cellStyle name="Percent 2 5" xfId="1517" xr:uid="{00000000-0005-0000-0000-0000EC050000}"/>
    <cellStyle name="Percent 2 6" xfId="1518" xr:uid="{00000000-0005-0000-0000-0000ED050000}"/>
    <cellStyle name="Percent 2_Bieu kem de cuong" xfId="1519" xr:uid="{00000000-0005-0000-0000-0000EE050000}"/>
    <cellStyle name="Percent 3" xfId="1520" xr:uid="{00000000-0005-0000-0000-0000EF050000}"/>
    <cellStyle name="Percent 3 2" xfId="1521" xr:uid="{00000000-0005-0000-0000-0000F0050000}"/>
    <cellStyle name="Percent 3 3" xfId="1522" xr:uid="{00000000-0005-0000-0000-0000F1050000}"/>
    <cellStyle name="Percent 3 4" xfId="1523" xr:uid="{00000000-0005-0000-0000-0000F2050000}"/>
    <cellStyle name="Percent 3 5" xfId="1524" xr:uid="{00000000-0005-0000-0000-0000F3050000}"/>
    <cellStyle name="Percent 3 6" xfId="1525" xr:uid="{00000000-0005-0000-0000-0000F4050000}"/>
    <cellStyle name="Percent 4" xfId="1526" xr:uid="{00000000-0005-0000-0000-0000F5050000}"/>
    <cellStyle name="Percent 5" xfId="1527" xr:uid="{00000000-0005-0000-0000-0000F6050000}"/>
    <cellStyle name="Percent 6" xfId="1528" xr:uid="{00000000-0005-0000-0000-0000F7050000}"/>
    <cellStyle name="Percent 7" xfId="1529" xr:uid="{00000000-0005-0000-0000-0000F8050000}"/>
    <cellStyle name="Percent 8" xfId="1530" xr:uid="{00000000-0005-0000-0000-0000F9050000}"/>
    <cellStyle name="PERCENTAGE" xfId="1531" xr:uid="{00000000-0005-0000-0000-0000FA050000}"/>
    <cellStyle name="Phần trăm" xfId="2288" builtinId="5"/>
    <cellStyle name="Phần Trăm 2" xfId="1532" xr:uid="{00000000-0005-0000-0000-000009060000}"/>
    <cellStyle name="Phần Trăm 2 2" xfId="1533" xr:uid="{00000000-0005-0000-0000-00000A060000}"/>
    <cellStyle name="PrePop Currency (0)" xfId="1534" xr:uid="{00000000-0005-0000-0000-0000FB050000}"/>
    <cellStyle name="PrePop Currency (0) 2" xfId="1535" xr:uid="{00000000-0005-0000-0000-0000FC050000}"/>
    <cellStyle name="PrePop Currency (0) 3" xfId="1536" xr:uid="{00000000-0005-0000-0000-0000FD050000}"/>
    <cellStyle name="PrePop Currency (2)" xfId="1537" xr:uid="{00000000-0005-0000-0000-0000FE050000}"/>
    <cellStyle name="PrePop Units (0)" xfId="1538" xr:uid="{00000000-0005-0000-0000-0000FF050000}"/>
    <cellStyle name="PrePop Units (0) 2" xfId="1539" xr:uid="{00000000-0005-0000-0000-000000060000}"/>
    <cellStyle name="PrePop Units (0) 3" xfId="1540" xr:uid="{00000000-0005-0000-0000-000001060000}"/>
    <cellStyle name="PrePop Units (1)" xfId="1541" xr:uid="{00000000-0005-0000-0000-000002060000}"/>
    <cellStyle name="PrePop Units (1) 2" xfId="1542" xr:uid="{00000000-0005-0000-0000-000003060000}"/>
    <cellStyle name="PrePop Units (1) 3" xfId="1543" xr:uid="{00000000-0005-0000-0000-000004060000}"/>
    <cellStyle name="PrePop Units (2)" xfId="1544" xr:uid="{00000000-0005-0000-0000-000005060000}"/>
    <cellStyle name="pricing" xfId="1545" xr:uid="{00000000-0005-0000-0000-000006060000}"/>
    <cellStyle name="PSChar" xfId="1546" xr:uid="{00000000-0005-0000-0000-000007060000}"/>
    <cellStyle name="PSHeading" xfId="1547" xr:uid="{00000000-0005-0000-0000-000008060000}"/>
    <cellStyle name="QG" xfId="1548" xr:uid="{00000000-0005-0000-0000-00000C060000}"/>
    <cellStyle name="QUANG" xfId="1549" xr:uid="{00000000-0005-0000-0000-00000E060000}"/>
    <cellStyle name="Quantity" xfId="1550" xr:uid="{00000000-0005-0000-0000-00000D060000}"/>
    <cellStyle name="regstoresfromspecstores" xfId="1551" xr:uid="{00000000-0005-0000-0000-00000F060000}"/>
    <cellStyle name="RevList" xfId="1552" xr:uid="{00000000-0005-0000-0000-000010060000}"/>
    <cellStyle name="RevList 2" xfId="1553" xr:uid="{00000000-0005-0000-0000-000011060000}"/>
    <cellStyle name="rlink_tiªn l­în_x001b_Hyperlink_TONG HOP KINH PHI" xfId="1554" xr:uid="{00000000-0005-0000-0000-000012060000}"/>
    <cellStyle name="rmal_ADAdot" xfId="1555" xr:uid="{00000000-0005-0000-0000-000013060000}"/>
    <cellStyle name="S—_x0008_" xfId="1556" xr:uid="{00000000-0005-0000-0000-000014060000}"/>
    <cellStyle name="s]_x000d__x000a_spooler=yes_x000d__x000a_load=_x000d__x000a_Beep=yes_x000d__x000a_NullPort=None_x000d__x000a_BorderWidth=3_x000d__x000a_CursorBlinkRate=1200_x000d__x000a_DoubleClickSpeed=452_x000d__x000a_Programs=co" xfId="1557" xr:uid="{00000000-0005-0000-0000-000015060000}"/>
    <cellStyle name="s]_x000d__x000a_spooler=yes_x000d__x000a_load=_x000d__x000a_Beep=yes_x000d__x000a_NullPort=None_x000d__x000a_BorderWidth=3_x000d__x000a_CursorBlinkRate=1200_x000d__x000a_DoubleClickSpeed=452_x000d__x000a_Programs=co 2" xfId="1558" xr:uid="{00000000-0005-0000-0000-000016060000}"/>
    <cellStyle name="S—_x0008__CTMTQG 2015" xfId="1559" xr:uid="{00000000-0005-0000-0000-000017060000}"/>
    <cellStyle name="SAPBEXaggData" xfId="1560" xr:uid="{00000000-0005-0000-0000-000018060000}"/>
    <cellStyle name="SAPBEXaggDataEmph" xfId="1561" xr:uid="{00000000-0005-0000-0000-000019060000}"/>
    <cellStyle name="SAPBEXaggItem" xfId="1562" xr:uid="{00000000-0005-0000-0000-00001A060000}"/>
    <cellStyle name="SAPBEXchaText" xfId="1563" xr:uid="{00000000-0005-0000-0000-00001B060000}"/>
    <cellStyle name="SAPBEXexcBad7" xfId="1564" xr:uid="{00000000-0005-0000-0000-00001C060000}"/>
    <cellStyle name="SAPBEXexcBad8" xfId="1565" xr:uid="{00000000-0005-0000-0000-00001D060000}"/>
    <cellStyle name="SAPBEXexcBad9" xfId="1566" xr:uid="{00000000-0005-0000-0000-00001E060000}"/>
    <cellStyle name="SAPBEXexcCritical4" xfId="1567" xr:uid="{00000000-0005-0000-0000-00001F060000}"/>
    <cellStyle name="SAPBEXexcCritical5" xfId="1568" xr:uid="{00000000-0005-0000-0000-000020060000}"/>
    <cellStyle name="SAPBEXexcCritical6" xfId="1569" xr:uid="{00000000-0005-0000-0000-000021060000}"/>
    <cellStyle name="SAPBEXexcGood1" xfId="1570" xr:uid="{00000000-0005-0000-0000-000022060000}"/>
    <cellStyle name="SAPBEXexcGood2" xfId="1571" xr:uid="{00000000-0005-0000-0000-000023060000}"/>
    <cellStyle name="SAPBEXexcGood3" xfId="1572" xr:uid="{00000000-0005-0000-0000-000024060000}"/>
    <cellStyle name="SAPBEXfilterDrill" xfId="1573" xr:uid="{00000000-0005-0000-0000-000025060000}"/>
    <cellStyle name="SAPBEXfilterItem" xfId="1574" xr:uid="{00000000-0005-0000-0000-000026060000}"/>
    <cellStyle name="SAPBEXfilterText" xfId="1575" xr:uid="{00000000-0005-0000-0000-000027060000}"/>
    <cellStyle name="SAPBEXformats" xfId="1576" xr:uid="{00000000-0005-0000-0000-000028060000}"/>
    <cellStyle name="SAPBEXheaderItem" xfId="1577" xr:uid="{00000000-0005-0000-0000-000029060000}"/>
    <cellStyle name="SAPBEXheaderText" xfId="1578" xr:uid="{00000000-0005-0000-0000-00002A060000}"/>
    <cellStyle name="SAPBEXresData" xfId="1579" xr:uid="{00000000-0005-0000-0000-00002B060000}"/>
    <cellStyle name="SAPBEXresDataEmph" xfId="1580" xr:uid="{00000000-0005-0000-0000-00002C060000}"/>
    <cellStyle name="SAPBEXresItem" xfId="1581" xr:uid="{00000000-0005-0000-0000-00002D060000}"/>
    <cellStyle name="SAPBEXstdData" xfId="1582" xr:uid="{00000000-0005-0000-0000-00002E060000}"/>
    <cellStyle name="SAPBEXstdDataEmph" xfId="1583" xr:uid="{00000000-0005-0000-0000-00002F060000}"/>
    <cellStyle name="SAPBEXstdItem" xfId="1584" xr:uid="{00000000-0005-0000-0000-000030060000}"/>
    <cellStyle name="SAPBEXtitle" xfId="1585" xr:uid="{00000000-0005-0000-0000-000031060000}"/>
    <cellStyle name="SAPBEXundefined" xfId="1586" xr:uid="{00000000-0005-0000-0000-000032060000}"/>
    <cellStyle name="serJet 1200 Series PCL 6" xfId="1587" xr:uid="{00000000-0005-0000-0000-000033060000}"/>
    <cellStyle name="SHADEDSTORES" xfId="1588" xr:uid="{00000000-0005-0000-0000-000034060000}"/>
    <cellStyle name="Siêu kết nối" xfId="10" builtinId="8"/>
    <cellStyle name="Siêu nối kết_Book1" xfId="1589" xr:uid="{00000000-0005-0000-0000-000036060000}"/>
    <cellStyle name="songuyen" xfId="1590" xr:uid="{00000000-0005-0000-0000-000037060000}"/>
    <cellStyle name="specstores" xfId="1591" xr:uid="{00000000-0005-0000-0000-000038060000}"/>
    <cellStyle name="Standard" xfId="1592" xr:uid="{00000000-0005-0000-0000-000039060000}"/>
    <cellStyle name="STTDG" xfId="1593" xr:uid="{00000000-0005-0000-0000-00003A060000}"/>
    <cellStyle name="Style 1" xfId="1594" xr:uid="{00000000-0005-0000-0000-00003B060000}"/>
    <cellStyle name="Style 1 2" xfId="1595" xr:uid="{00000000-0005-0000-0000-00003C060000}"/>
    <cellStyle name="Style 10" xfId="1596" xr:uid="{00000000-0005-0000-0000-00003D060000}"/>
    <cellStyle name="Style 11" xfId="1597" xr:uid="{00000000-0005-0000-0000-00003E060000}"/>
    <cellStyle name="Style 12" xfId="1598" xr:uid="{00000000-0005-0000-0000-00003F060000}"/>
    <cellStyle name="Style 13" xfId="1599" xr:uid="{00000000-0005-0000-0000-000040060000}"/>
    <cellStyle name="Style 14" xfId="1600" xr:uid="{00000000-0005-0000-0000-000041060000}"/>
    <cellStyle name="Style 15" xfId="1601" xr:uid="{00000000-0005-0000-0000-000042060000}"/>
    <cellStyle name="Style 16" xfId="1602" xr:uid="{00000000-0005-0000-0000-000043060000}"/>
    <cellStyle name="Style 17" xfId="1603" xr:uid="{00000000-0005-0000-0000-000044060000}"/>
    <cellStyle name="Style 18" xfId="1604" xr:uid="{00000000-0005-0000-0000-000045060000}"/>
    <cellStyle name="Style 19" xfId="1605" xr:uid="{00000000-0005-0000-0000-000046060000}"/>
    <cellStyle name="Style 2" xfId="1606" xr:uid="{00000000-0005-0000-0000-000047060000}"/>
    <cellStyle name="Style 20" xfId="1607" xr:uid="{00000000-0005-0000-0000-000048060000}"/>
    <cellStyle name="Style 21" xfId="1608" xr:uid="{00000000-0005-0000-0000-000049060000}"/>
    <cellStyle name="Style 22" xfId="1609" xr:uid="{00000000-0005-0000-0000-00004A060000}"/>
    <cellStyle name="Style 23" xfId="1610" xr:uid="{00000000-0005-0000-0000-00004B060000}"/>
    <cellStyle name="Style 24" xfId="1611" xr:uid="{00000000-0005-0000-0000-00004C060000}"/>
    <cellStyle name="Style 25" xfId="1612" xr:uid="{00000000-0005-0000-0000-00004D060000}"/>
    <cellStyle name="Style 26" xfId="1613" xr:uid="{00000000-0005-0000-0000-00004E060000}"/>
    <cellStyle name="Style 27" xfId="1614" xr:uid="{00000000-0005-0000-0000-00004F060000}"/>
    <cellStyle name="Style 28" xfId="1615" xr:uid="{00000000-0005-0000-0000-000050060000}"/>
    <cellStyle name="Style 29" xfId="1616" xr:uid="{00000000-0005-0000-0000-000051060000}"/>
    <cellStyle name="Style 3" xfId="1617" xr:uid="{00000000-0005-0000-0000-000052060000}"/>
    <cellStyle name="Style 30" xfId="1618" xr:uid="{00000000-0005-0000-0000-000053060000}"/>
    <cellStyle name="Style 31" xfId="1619" xr:uid="{00000000-0005-0000-0000-000054060000}"/>
    <cellStyle name="Style 32" xfId="1620" xr:uid="{00000000-0005-0000-0000-000055060000}"/>
    <cellStyle name="Style 33" xfId="1621" xr:uid="{00000000-0005-0000-0000-000056060000}"/>
    <cellStyle name="Style 34" xfId="1622" xr:uid="{00000000-0005-0000-0000-000057060000}"/>
    <cellStyle name="Style 35" xfId="1623" xr:uid="{00000000-0005-0000-0000-000058060000}"/>
    <cellStyle name="Style 36" xfId="1624" xr:uid="{00000000-0005-0000-0000-000059060000}"/>
    <cellStyle name="Style 37" xfId="1625" xr:uid="{00000000-0005-0000-0000-00005A060000}"/>
    <cellStyle name="Style 38" xfId="1626" xr:uid="{00000000-0005-0000-0000-00005B060000}"/>
    <cellStyle name="Style 39" xfId="1627" xr:uid="{00000000-0005-0000-0000-00005C060000}"/>
    <cellStyle name="Style 4" xfId="1628" xr:uid="{00000000-0005-0000-0000-00005D060000}"/>
    <cellStyle name="Style 40" xfId="1629" xr:uid="{00000000-0005-0000-0000-00005E060000}"/>
    <cellStyle name="Style 41" xfId="1630" xr:uid="{00000000-0005-0000-0000-00005F060000}"/>
    <cellStyle name="Style 42" xfId="1631" xr:uid="{00000000-0005-0000-0000-000060060000}"/>
    <cellStyle name="Style 43" xfId="1632" xr:uid="{00000000-0005-0000-0000-000061060000}"/>
    <cellStyle name="Style 44" xfId="1633" xr:uid="{00000000-0005-0000-0000-000062060000}"/>
    <cellStyle name="Style 45" xfId="1634" xr:uid="{00000000-0005-0000-0000-000063060000}"/>
    <cellStyle name="Style 46" xfId="1635" xr:uid="{00000000-0005-0000-0000-000064060000}"/>
    <cellStyle name="Style 47" xfId="1636" xr:uid="{00000000-0005-0000-0000-000065060000}"/>
    <cellStyle name="Style 48" xfId="1637" xr:uid="{00000000-0005-0000-0000-000066060000}"/>
    <cellStyle name="Style 49" xfId="1638" xr:uid="{00000000-0005-0000-0000-000067060000}"/>
    <cellStyle name="Style 5" xfId="1639" xr:uid="{00000000-0005-0000-0000-000068060000}"/>
    <cellStyle name="Style 50" xfId="1640" xr:uid="{00000000-0005-0000-0000-000069060000}"/>
    <cellStyle name="Style 51" xfId="1641" xr:uid="{00000000-0005-0000-0000-00006A060000}"/>
    <cellStyle name="Style 52" xfId="1642" xr:uid="{00000000-0005-0000-0000-00006B060000}"/>
    <cellStyle name="Style 53" xfId="1643" xr:uid="{00000000-0005-0000-0000-00006C060000}"/>
    <cellStyle name="Style 54" xfId="1644" xr:uid="{00000000-0005-0000-0000-00006D060000}"/>
    <cellStyle name="Style 55" xfId="1645" xr:uid="{00000000-0005-0000-0000-00006E060000}"/>
    <cellStyle name="Style 56" xfId="1646" xr:uid="{00000000-0005-0000-0000-00006F060000}"/>
    <cellStyle name="Style 57" xfId="1647" xr:uid="{00000000-0005-0000-0000-000070060000}"/>
    <cellStyle name="Style 58" xfId="1648" xr:uid="{00000000-0005-0000-0000-000071060000}"/>
    <cellStyle name="Style 59" xfId="1649" xr:uid="{00000000-0005-0000-0000-000072060000}"/>
    <cellStyle name="Style 6" xfId="1650" xr:uid="{00000000-0005-0000-0000-000073060000}"/>
    <cellStyle name="Style 60" xfId="1651" xr:uid="{00000000-0005-0000-0000-000074060000}"/>
    <cellStyle name="Style 61" xfId="1652" xr:uid="{00000000-0005-0000-0000-000075060000}"/>
    <cellStyle name="Style 62" xfId="1653" xr:uid="{00000000-0005-0000-0000-000076060000}"/>
    <cellStyle name="Style 63" xfId="1654" xr:uid="{00000000-0005-0000-0000-000077060000}"/>
    <cellStyle name="Style 64" xfId="1655" xr:uid="{00000000-0005-0000-0000-000078060000}"/>
    <cellStyle name="Style 65" xfId="1656" xr:uid="{00000000-0005-0000-0000-000079060000}"/>
    <cellStyle name="Style 66" xfId="1657" xr:uid="{00000000-0005-0000-0000-00007A060000}"/>
    <cellStyle name="Style 67" xfId="1658" xr:uid="{00000000-0005-0000-0000-00007B060000}"/>
    <cellStyle name="Style 68" xfId="1659" xr:uid="{00000000-0005-0000-0000-00007C060000}"/>
    <cellStyle name="Style 69" xfId="1660" xr:uid="{00000000-0005-0000-0000-00007D060000}"/>
    <cellStyle name="Style 7" xfId="1661" xr:uid="{00000000-0005-0000-0000-00007E060000}"/>
    <cellStyle name="Style 70" xfId="1662" xr:uid="{00000000-0005-0000-0000-00007F060000}"/>
    <cellStyle name="Style 71" xfId="1663" xr:uid="{00000000-0005-0000-0000-000080060000}"/>
    <cellStyle name="Style 72" xfId="1664" xr:uid="{00000000-0005-0000-0000-000081060000}"/>
    <cellStyle name="Style 73" xfId="1665" xr:uid="{00000000-0005-0000-0000-000082060000}"/>
    <cellStyle name="Style 74" xfId="1666" xr:uid="{00000000-0005-0000-0000-000083060000}"/>
    <cellStyle name="Style 75" xfId="1667" xr:uid="{00000000-0005-0000-0000-000084060000}"/>
    <cellStyle name="Style 8" xfId="1668" xr:uid="{00000000-0005-0000-0000-000085060000}"/>
    <cellStyle name="Style 9" xfId="1669" xr:uid="{00000000-0005-0000-0000-000086060000}"/>
    <cellStyle name="Style Date" xfId="1670" xr:uid="{00000000-0005-0000-0000-000087060000}"/>
    <cellStyle name="style_1" xfId="1671" xr:uid="{00000000-0005-0000-0000-000088060000}"/>
    <cellStyle name="Style1" xfId="1672" xr:uid="{00000000-0005-0000-0000-000089060000}"/>
    <cellStyle name="subhead" xfId="1673" xr:uid="{00000000-0005-0000-0000-00008A060000}"/>
    <cellStyle name="Subtotal" xfId="1674" xr:uid="{00000000-0005-0000-0000-00008B060000}"/>
    <cellStyle name="Subtotal 2" xfId="1675" xr:uid="{00000000-0005-0000-0000-00008C060000}"/>
    <cellStyle name="symbol" xfId="1676" xr:uid="{00000000-0005-0000-0000-00008D060000}"/>
    <cellStyle name="T" xfId="1677" xr:uid="{00000000-0005-0000-0000-00008E060000}"/>
    <cellStyle name="T 2" xfId="1678" xr:uid="{00000000-0005-0000-0000-00008F060000}"/>
    <cellStyle name="T 2 2" xfId="1679" xr:uid="{00000000-0005-0000-0000-000090060000}"/>
    <cellStyle name="T 2_KHKT_tong_quat_BK_(Pb_20.3)(1) (1)" xfId="1680" xr:uid="{00000000-0005-0000-0000-000091060000}"/>
    <cellStyle name="T 3" xfId="1681" xr:uid="{00000000-0005-0000-0000-000092060000}"/>
    <cellStyle name="T 4" xfId="1682" xr:uid="{00000000-0005-0000-0000-000093060000}"/>
    <cellStyle name="T 5" xfId="1683" xr:uid="{00000000-0005-0000-0000-000094060000}"/>
    <cellStyle name="T 6" xfId="1684" xr:uid="{00000000-0005-0000-0000-000095060000}"/>
    <cellStyle name="T 7" xfId="1685" xr:uid="{00000000-0005-0000-0000-000096060000}"/>
    <cellStyle name="T 8" xfId="1686" xr:uid="{00000000-0005-0000-0000-000097060000}"/>
    <cellStyle name="T_06.05..2015 phong tai chinh (1)" xfId="1687" xr:uid="{00000000-0005-0000-0000-000098060000}"/>
    <cellStyle name="T_06.05..2015 phong tai chinh (1)_3. Biểu Chi QT 2016" xfId="1688" xr:uid="{00000000-0005-0000-0000-000099060000}"/>
    <cellStyle name="T_1. Bieu uoc thu - dieu chinh tro cap XP 2014" xfId="1689" xr:uid="{00000000-0005-0000-0000-00009A060000}"/>
    <cellStyle name="T_1. Bieu uoc thu - dieu chinh tro cap XP 2014_2. Du toan dieu chinh 2016 xã phường 09-11" xfId="1690" xr:uid="{00000000-0005-0000-0000-00009B060000}"/>
    <cellStyle name="T_1. Bieu uoc thu - dieu chinh tro cap XP 2014_2. Du toan dieu chinh 2016 xã phường 09-11_3. Biểu Chi QT 2016" xfId="1691" xr:uid="{00000000-0005-0000-0000-00009C060000}"/>
    <cellStyle name="T_1. Bieu uoc thu - dieu chinh tro cap XP 2014_3. Biểu Chi QT 2016" xfId="1692" xr:uid="{00000000-0005-0000-0000-00009D060000}"/>
    <cellStyle name="T_1. Bieu uoc thu - dieu chinh tro cap XP 2014_3. Cac bieu QT chi NSNN 2015 tu B05-09" xfId="1693" xr:uid="{00000000-0005-0000-0000-00009E060000}"/>
    <cellStyle name="T_1. Bieu uoc thu - dieu chinh tro cap XP 2014_biểu chi xp x (1)" xfId="1694" xr:uid="{00000000-0005-0000-0000-0000A1060000}"/>
    <cellStyle name="T_1. Bieu uoc thu - dieu chinh tro cap XP 2014_Bieu dieu chinh NS nam 2015 da sua - Chuan" xfId="1695" xr:uid="{00000000-0005-0000-0000-00009F060000}"/>
    <cellStyle name="T_1. Bieu uoc thu - dieu chinh tro cap XP 2014_Bieu dieu chinh NS nam 2015 da sua - Chuan_3. Biểu Chi QT 2016" xfId="1696" xr:uid="{00000000-0005-0000-0000-0000A0060000}"/>
    <cellStyle name="T_131114- Bieu giao du toan CTMTQG 2014 giao" xfId="1697" xr:uid="{00000000-0005-0000-0000-0000A2060000}"/>
    <cellStyle name="T_2. Du toan dieu chinh 2016 xã phường 09-11" xfId="1698" xr:uid="{00000000-0005-0000-0000-0000A3060000}"/>
    <cellStyle name="T_2. Du toan dieu chinh 2016 xã phường 09-11_3. Biểu Chi QT 2016" xfId="1699" xr:uid="{00000000-0005-0000-0000-0000A4060000}"/>
    <cellStyle name="T_20.Vinh Phuc" xfId="1700" xr:uid="{00000000-0005-0000-0000-0000A5060000}"/>
    <cellStyle name="T_3. Biểu Chi QT 2016" xfId="1701" xr:uid="{00000000-0005-0000-0000-0000A8060000}"/>
    <cellStyle name="T_3. Biểu QT Chi nam 2016 -bieu 5, 6, 7, 8, 9" xfId="1702" xr:uid="{00000000-0005-0000-0000-0000A9060000}"/>
    <cellStyle name="T_3. Bieu tien dat doanh nghiep" xfId="1703" xr:uid="{00000000-0005-0000-0000-0000A6060000}"/>
    <cellStyle name="T_3. Bieu tien dat doanh nghiep_3. Biểu Chi QT 2016" xfId="1704" xr:uid="{00000000-0005-0000-0000-0000A7060000}"/>
    <cellStyle name="T_3. Cac bieu QT chi NSNN 2015 tu B05-09" xfId="1705" xr:uid="{00000000-0005-0000-0000-0000AA060000}"/>
    <cellStyle name="T_50-BB Vung tau 2011" xfId="1706" xr:uid="{00000000-0005-0000-0000-0000AB060000}"/>
    <cellStyle name="T_50-BB Vung tau 2011_120907 Thu tang them 4500" xfId="1707" xr:uid="{00000000-0005-0000-0000-0000AC060000}"/>
    <cellStyle name="T_50-BB Vung tau 2011_120907 Thu tang them 4500_Von ngoai nuoc" xfId="1708" xr:uid="{00000000-0005-0000-0000-0000AD060000}"/>
    <cellStyle name="T_50-BB Vung tau 2011_27-8Tong hop PA uoc 2012-DT 2013 -PA 420.000 ty-490.000 ty chuyen doi" xfId="1709" xr:uid="{00000000-0005-0000-0000-0000AE060000}"/>
    <cellStyle name="T_50-BB Vung tau 2011_27-8Tong hop PA uoc 2012-DT 2013 -PA 420.000 ty-490.000 ty chuyen doi_Von ngoai nuoc" xfId="1710" xr:uid="{00000000-0005-0000-0000-0000AF060000}"/>
    <cellStyle name="T_50-BB Vung tau 2011_Von ngoai nuoc" xfId="1711" xr:uid="{00000000-0005-0000-0000-0000B0060000}"/>
    <cellStyle name="T_Bangtheodoicongviec" xfId="1712" xr:uid="{00000000-0005-0000-0000-0000B1060000}"/>
    <cellStyle name="T_bao cao" xfId="1713" xr:uid="{00000000-0005-0000-0000-0000B2060000}"/>
    <cellStyle name="T_Bao cao so lieu kiem toan nam 2007 sua" xfId="1714" xr:uid="{00000000-0005-0000-0000-0000B3060000}"/>
    <cellStyle name="T_Bao cao so lieu kiem toan nam 2007 sua_131114- Bieu giao du toan CTMTQG 2014 giao" xfId="1715" xr:uid="{00000000-0005-0000-0000-0000B4060000}"/>
    <cellStyle name="T_Bao cao so lieu kiem toan nam 2007 sua_BIEU MAU KE HOACH KINH TE XA HOI NAM 2013(2)" xfId="1716" xr:uid="{00000000-0005-0000-0000-0000B5060000}"/>
    <cellStyle name="T_Bao cao so lieu kiem toan nam 2007 sua_Book2" xfId="1717" xr:uid="{00000000-0005-0000-0000-0000B6060000}"/>
    <cellStyle name="T_Bao cao so lieu kiem toan nam 2007 sua_Book4" xfId="1718" xr:uid="{00000000-0005-0000-0000-0000B7060000}"/>
    <cellStyle name="T_Bao cao so lieu kiem toan nam 2007 sua_Book5" xfId="1719" xr:uid="{00000000-0005-0000-0000-0000B8060000}"/>
    <cellStyle name="T_Bao cao so lieu kiem toan nam 2007 sua_KH KTXH NAM 2014" xfId="1720" xr:uid="{00000000-0005-0000-0000-0000B9060000}"/>
    <cellStyle name="T_Bao cao so lieu kiem toan nam 2007 sua_KH KTXH NAM 2014-1" xfId="1721" xr:uid="{00000000-0005-0000-0000-0000BA060000}"/>
    <cellStyle name="T_bao cao_131114- Bieu giao du toan CTMTQG 2014 giao" xfId="1722" xr:uid="{00000000-0005-0000-0000-0000BB060000}"/>
    <cellStyle name="T_BBTNG-06" xfId="1723" xr:uid="{00000000-0005-0000-0000-0000BC060000}"/>
    <cellStyle name="T_BBTNG-06_131114- Bieu giao du toan CTMTQG 2014 giao" xfId="1724" xr:uid="{00000000-0005-0000-0000-0000BD060000}"/>
    <cellStyle name="T_BC CTMT-2008 Ttinh" xfId="1725" xr:uid="{00000000-0005-0000-0000-0000BE060000}"/>
    <cellStyle name="T_BC CTMT-2008 Ttinh_131114- Bieu giao du toan CTMTQG 2014 giao" xfId="1726" xr:uid="{00000000-0005-0000-0000-0000BF060000}"/>
    <cellStyle name="T_bc KB den ngay 15122010" xfId="1727" xr:uid="{00000000-0005-0000-0000-0000C0060000}"/>
    <cellStyle name="T_BenxuatXM2" xfId="1728" xr:uid="{00000000-0005-0000-0000-0000C1060000}"/>
    <cellStyle name="T_biểu chi xp x (1)" xfId="1729" xr:uid="{00000000-0005-0000-0000-0000CB060000}"/>
    <cellStyle name="T_Bieu dieu chinh NS nam 2015 da sua - Chuan" xfId="1730" xr:uid="{00000000-0005-0000-0000-0000C2060000}"/>
    <cellStyle name="T_Bieu dieu chinh NS nam 2015 da sua - Chuan_3. Biểu Chi QT 2016" xfId="1731" xr:uid="{00000000-0005-0000-0000-0000C3060000}"/>
    <cellStyle name="T_Bieu kem cv 1454 ( Ca Mau)" xfId="1732" xr:uid="{00000000-0005-0000-0000-0000C4060000}"/>
    <cellStyle name="T_Bieu kem cv 1454 ( Ca Mau)_Von ngoai nuoc" xfId="1733" xr:uid="{00000000-0005-0000-0000-0000C5060000}"/>
    <cellStyle name="T_Bieu mau danh muc du an thuoc CTMTQG nam 2008" xfId="1734" xr:uid="{00000000-0005-0000-0000-0000C6060000}"/>
    <cellStyle name="T_Bieu mau danh muc du an thuoc CTMTQG nam 2008_131114- Bieu giao du toan CTMTQG 2014 giao" xfId="1735" xr:uid="{00000000-0005-0000-0000-0000C7060000}"/>
    <cellStyle name="T_Bieu mau tong hop Ke hoach XDCB" xfId="1736" xr:uid="{00000000-0005-0000-0000-0000C8060000}"/>
    <cellStyle name="T_Bieu tong hop nhu cau ung 2011 da chon loc -Mien nui" xfId="1737" xr:uid="{00000000-0005-0000-0000-0000C9060000}"/>
    <cellStyle name="T_Bieu tong hop nhu cau ung 2011 da chon loc -Mien nui_131114- Bieu giao du toan CTMTQG 2014 giao" xfId="1738" xr:uid="{00000000-0005-0000-0000-0000CA060000}"/>
    <cellStyle name="T_Book1" xfId="1739" xr:uid="{00000000-0005-0000-0000-0000CC060000}"/>
    <cellStyle name="T_Book1 2" xfId="1740" xr:uid="{00000000-0005-0000-0000-0000CD060000}"/>
    <cellStyle name="T_Book1 2_KHKT_tong_quat_BK_(Pb_20.3)(1) (1)" xfId="1741" xr:uid="{00000000-0005-0000-0000-0000CE060000}"/>
    <cellStyle name="T_Book1 2_PL 2 (Nhan su)" xfId="1742" xr:uid="{00000000-0005-0000-0000-0000CF060000}"/>
    <cellStyle name="T_Book1 2_PL1 " xfId="1743" xr:uid="{00000000-0005-0000-0000-0000D0060000}"/>
    <cellStyle name="T_Book1 3" xfId="1744" xr:uid="{00000000-0005-0000-0000-0000D1060000}"/>
    <cellStyle name="T_Book1 4" xfId="1745" xr:uid="{00000000-0005-0000-0000-0000D2060000}"/>
    <cellStyle name="T_Book1_1" xfId="1746" xr:uid="{00000000-0005-0000-0000-0000D3060000}"/>
    <cellStyle name="T_Book1_1 2" xfId="1747" xr:uid="{00000000-0005-0000-0000-0000D4060000}"/>
    <cellStyle name="T_Book1_1 3" xfId="1748" xr:uid="{00000000-0005-0000-0000-0000D5060000}"/>
    <cellStyle name="T_Book1_1_131114- Bieu giao du toan CTMTQG 2014 giao" xfId="1749" xr:uid="{00000000-0005-0000-0000-0000D6060000}"/>
    <cellStyle name="T_Book1_1_Bieu tong hop nhu cau ung 2011 da chon loc -Mien nui" xfId="1750" xr:uid="{00000000-0005-0000-0000-0000D7060000}"/>
    <cellStyle name="T_Book1_1_Bieu tong hop nhu cau ung 2011 da chon loc -Mien nui_131114- Bieu giao du toan CTMTQG 2014 giao" xfId="1751" xr:uid="{00000000-0005-0000-0000-0000D8060000}"/>
    <cellStyle name="T_Book1_1_Book1" xfId="1752" xr:uid="{00000000-0005-0000-0000-0000D9060000}"/>
    <cellStyle name="T_Book1_1_CPK" xfId="1753" xr:uid="{00000000-0005-0000-0000-0000DA060000}"/>
    <cellStyle name="T_Book1_1_CPK_131114- Bieu giao du toan CTMTQG 2014 giao" xfId="1754" xr:uid="{00000000-0005-0000-0000-0000DB060000}"/>
    <cellStyle name="T_Book1_1_Luy ke von ung nam 2011 -Thoa gui ngay 12-8-2012" xfId="1755" xr:uid="{00000000-0005-0000-0000-0000DC060000}"/>
    <cellStyle name="T_Book1_1_Luy ke von ung nam 2011 -Thoa gui ngay 12-8-2012_131114- Bieu giao du toan CTMTQG 2014 giao" xfId="1756" xr:uid="{00000000-0005-0000-0000-0000DD060000}"/>
    <cellStyle name="T_Book1_1_Thiet bi" xfId="1757" xr:uid="{00000000-0005-0000-0000-0000DE060000}"/>
    <cellStyle name="T_Book1_1_Thiet bi_131114- Bieu giao du toan CTMTQG 2014 giao" xfId="1758" xr:uid="{00000000-0005-0000-0000-0000DF060000}"/>
    <cellStyle name="T_Book1_131114- Bieu giao du toan CTMTQG 2014 giao" xfId="1759" xr:uid="{00000000-0005-0000-0000-0000E0060000}"/>
    <cellStyle name="T_Book1_2" xfId="1760" xr:uid="{00000000-0005-0000-0000-0000E1060000}"/>
    <cellStyle name="T_Book1_2 2" xfId="1761" xr:uid="{00000000-0005-0000-0000-0000E2060000}"/>
    <cellStyle name="T_Book1_2 3" xfId="1762" xr:uid="{00000000-0005-0000-0000-0000E3060000}"/>
    <cellStyle name="T_Book1_2. Du toan dieu chinh 2016 xã phường 09-11" xfId="1763" xr:uid="{00000000-0005-0000-0000-0000E4060000}"/>
    <cellStyle name="T_Book1_2. Du toan dieu chinh 2016 xã phường 09-11_3. Biểu Chi QT 2016" xfId="1764" xr:uid="{00000000-0005-0000-0000-0000E5060000}"/>
    <cellStyle name="T_Book1_2_BIEU MAU KE HOACH KINH TE XA HOI NAM 2013(2)" xfId="1765" xr:uid="{00000000-0005-0000-0000-0000E6060000}"/>
    <cellStyle name="T_Book1_2_Book1" xfId="1766" xr:uid="{00000000-0005-0000-0000-0000E7060000}"/>
    <cellStyle name="T_Book1_2_Book1_BIEU MAU KE HOACH KINH TE XA HOI NAM 2013(2)" xfId="1767" xr:uid="{00000000-0005-0000-0000-0000E8060000}"/>
    <cellStyle name="T_Book1_2_Book1_Book2" xfId="1768" xr:uid="{00000000-0005-0000-0000-0000E9060000}"/>
    <cellStyle name="T_Book1_2_Book1_Book4" xfId="1769" xr:uid="{00000000-0005-0000-0000-0000EA060000}"/>
    <cellStyle name="T_Book1_2_Book1_Book5" xfId="1770" xr:uid="{00000000-0005-0000-0000-0000EB060000}"/>
    <cellStyle name="T_Book1_2_Book1_KH KTXH NAM 2014" xfId="1771" xr:uid="{00000000-0005-0000-0000-0000EC060000}"/>
    <cellStyle name="T_Book1_2_Book1_KH KTXH NAM 2014-1" xfId="1772" xr:uid="{00000000-0005-0000-0000-0000ED060000}"/>
    <cellStyle name="T_Book1_2_Book2" xfId="1773" xr:uid="{00000000-0005-0000-0000-0000EE060000}"/>
    <cellStyle name="T_Book1_2_Book4" xfId="1774" xr:uid="{00000000-0005-0000-0000-0000EF060000}"/>
    <cellStyle name="T_Book1_2_Book5" xfId="1775" xr:uid="{00000000-0005-0000-0000-0000F0060000}"/>
    <cellStyle name="T_Book1_2_KH KTXH NAM 2014" xfId="1776" xr:uid="{00000000-0005-0000-0000-0000F1060000}"/>
    <cellStyle name="T_Book1_2_KH KTXH NAM 2014-1" xfId="1777" xr:uid="{00000000-0005-0000-0000-0000F2060000}"/>
    <cellStyle name="T_Book1_3" xfId="1778" xr:uid="{00000000-0005-0000-0000-0000F3060000}"/>
    <cellStyle name="T_Book1_3 2" xfId="1779" xr:uid="{00000000-0005-0000-0000-0000F4060000}"/>
    <cellStyle name="T_Book1_3 3" xfId="1780" xr:uid="{00000000-0005-0000-0000-0000F5060000}"/>
    <cellStyle name="T_Book1_3. Biểu Chi QT 2016" xfId="1781" xr:uid="{00000000-0005-0000-0000-0000F6060000}"/>
    <cellStyle name="T_Book1_3. Biểu QT Chi nam 2016 -bieu 5, 6, 7, 8, 9" xfId="1782" xr:uid="{00000000-0005-0000-0000-0000F7060000}"/>
    <cellStyle name="T_Book1_3. Cac bieu QT chi NSNN 2015 tu B05-09" xfId="1783" xr:uid="{00000000-0005-0000-0000-0000F8060000}"/>
    <cellStyle name="T_Book1_3_BIEU MAU KE HOACH KINH TE XA HOI NAM 2013(2)" xfId="1784" xr:uid="{00000000-0005-0000-0000-0000F9060000}"/>
    <cellStyle name="T_Book1_3_Book2" xfId="1785" xr:uid="{00000000-0005-0000-0000-0000FA060000}"/>
    <cellStyle name="T_Book1_3_Book4" xfId="1786" xr:uid="{00000000-0005-0000-0000-0000FB060000}"/>
    <cellStyle name="T_Book1_3_Book5" xfId="1787" xr:uid="{00000000-0005-0000-0000-0000FC060000}"/>
    <cellStyle name="T_Book1_3_KH KTXH NAM 2014" xfId="1788" xr:uid="{00000000-0005-0000-0000-0000FD060000}"/>
    <cellStyle name="T_Book1_3_KH KTXH NAM 2014-1" xfId="1789" xr:uid="{00000000-0005-0000-0000-0000FE060000}"/>
    <cellStyle name="T_Book1_4" xfId="1790" xr:uid="{00000000-0005-0000-0000-0000FF060000}"/>
    <cellStyle name="T_Book1_BC NQ11-CP - chinh sua lai" xfId="1791" xr:uid="{00000000-0005-0000-0000-000000070000}"/>
    <cellStyle name="T_Book1_BC NQ11-CP - chinh sua lai_131114- Bieu giao du toan CTMTQG 2014 giao" xfId="1792" xr:uid="{00000000-0005-0000-0000-000001070000}"/>
    <cellStyle name="T_Book1_BC NQ11-CP-Quynh sau bieu so3" xfId="1793" xr:uid="{00000000-0005-0000-0000-000002070000}"/>
    <cellStyle name="T_Book1_BC NQ11-CP-Quynh sau bieu so3_131114- Bieu giao du toan CTMTQG 2014 giao" xfId="1794" xr:uid="{00000000-0005-0000-0000-000003070000}"/>
    <cellStyle name="T_Book1_BC_NQ11-CP_-_Thao_sua_lai" xfId="1795" xr:uid="{00000000-0005-0000-0000-000004070000}"/>
    <cellStyle name="T_Book1_BC_NQ11-CP_-_Thao_sua_lai_131114- Bieu giao du toan CTMTQG 2014 giao" xfId="1796" xr:uid="{00000000-0005-0000-0000-000005070000}"/>
    <cellStyle name="T_Book1_biểu chi xp x (1)" xfId="1797" xr:uid="{00000000-0005-0000-0000-00000C070000}"/>
    <cellStyle name="T_Book1_Bieu dieu chinh NS nam 2015 da sua - Chuan" xfId="1798" xr:uid="{00000000-0005-0000-0000-000006070000}"/>
    <cellStyle name="T_Book1_Bieu dieu chinh NS nam 2015 da sua - Chuan_3. Biểu Chi QT 2016" xfId="1799" xr:uid="{00000000-0005-0000-0000-000007070000}"/>
    <cellStyle name="T_Book1_Bieu mau danh muc du an thuoc CTMTQG nam 2008" xfId="1800" xr:uid="{00000000-0005-0000-0000-000008070000}"/>
    <cellStyle name="T_Book1_Bieu mau danh muc du an thuoc CTMTQG nam 2008_131114- Bieu giao du toan CTMTQG 2014 giao" xfId="1801" xr:uid="{00000000-0005-0000-0000-000009070000}"/>
    <cellStyle name="T_Book1_Bieu tong hop nhu cau ung 2011 da chon loc -Mien nui" xfId="1802" xr:uid="{00000000-0005-0000-0000-00000A070000}"/>
    <cellStyle name="T_Book1_Bieu tong hop nhu cau ung 2011 da chon loc -Mien nui_131114- Bieu giao du toan CTMTQG 2014 giao" xfId="1803" xr:uid="{00000000-0005-0000-0000-00000B070000}"/>
    <cellStyle name="T_Book1_Book1" xfId="1804" xr:uid="{00000000-0005-0000-0000-00000D070000}"/>
    <cellStyle name="T_Book1_Book1 2" xfId="1805" xr:uid="{00000000-0005-0000-0000-00000E070000}"/>
    <cellStyle name="T_Book1_Book1 3" xfId="1806" xr:uid="{00000000-0005-0000-0000-00000F070000}"/>
    <cellStyle name="T_Book1_Book1_1" xfId="1807" xr:uid="{00000000-0005-0000-0000-000010070000}"/>
    <cellStyle name="T_Book1_Book1_131114- Bieu giao du toan CTMTQG 2014 giao" xfId="1808" xr:uid="{00000000-0005-0000-0000-000011070000}"/>
    <cellStyle name="T_Book1_Book1_BIEU MAU KE HOACH KINH TE XA HOI NAM 2013(2)" xfId="1809" xr:uid="{00000000-0005-0000-0000-000012070000}"/>
    <cellStyle name="T_Book1_Book1_Book1" xfId="1810" xr:uid="{00000000-0005-0000-0000-000013070000}"/>
    <cellStyle name="T_Book1_Book1_Book2" xfId="1811" xr:uid="{00000000-0005-0000-0000-000014070000}"/>
    <cellStyle name="T_Book1_Book1_Book4" xfId="1812" xr:uid="{00000000-0005-0000-0000-000015070000}"/>
    <cellStyle name="T_Book1_Book1_Book5" xfId="1813" xr:uid="{00000000-0005-0000-0000-000016070000}"/>
    <cellStyle name="T_Book1_Book1_KH KTXH NAM 2014" xfId="1814" xr:uid="{00000000-0005-0000-0000-000017070000}"/>
    <cellStyle name="T_Book1_Book1_KH KTXH NAM 2014-1" xfId="1815" xr:uid="{00000000-0005-0000-0000-000018070000}"/>
    <cellStyle name="T_Book1_Cong trinh co y kien LD_Dang_NN_2011-Tay nguyen-9-10" xfId="1816" xr:uid="{00000000-0005-0000-0000-000019070000}"/>
    <cellStyle name="T_Book1_Cong trinh co y kien LD_Dang_NN_2011-Tay nguyen-9-10_131114- Bieu giao du toan CTMTQG 2014 giao" xfId="1817" xr:uid="{00000000-0005-0000-0000-00001A070000}"/>
    <cellStyle name="T_Book1_CPK" xfId="1818" xr:uid="{00000000-0005-0000-0000-00001B070000}"/>
    <cellStyle name="T_Book1_CPK_131114- Bieu giao du toan CTMTQG 2014 giao" xfId="1819" xr:uid="{00000000-0005-0000-0000-00001C070000}"/>
    <cellStyle name="T_Book1_CTMTQG 2015" xfId="1820" xr:uid="{00000000-0005-0000-0000-00001D070000}"/>
    <cellStyle name="T_Book1_Du an khoi cong moi nam 2010" xfId="1821" xr:uid="{00000000-0005-0000-0000-00001E070000}"/>
    <cellStyle name="T_Book1_Du an khoi cong moi nam 2010_131114- Bieu giao du toan CTMTQG 2014 giao" xfId="1822" xr:uid="{00000000-0005-0000-0000-00001F070000}"/>
    <cellStyle name="T_Book1_Du thao Ke hoach 2011_BC Ban KTNS" xfId="1823" xr:uid="{00000000-0005-0000-0000-000020070000}"/>
    <cellStyle name="T_Book1_Du thao Ke hoach 2011_BC Ban KTNS_BIEU MAU KE HOACH KINH TE XA HOI NAM 2013(2)" xfId="1824" xr:uid="{00000000-0005-0000-0000-000021070000}"/>
    <cellStyle name="T_Book1_Du thao Ke hoach 2011_BC Ban KTNS_Book2" xfId="1825" xr:uid="{00000000-0005-0000-0000-000022070000}"/>
    <cellStyle name="T_Book1_Du thao Ke hoach 2011_BC Ban KTNS_Book4" xfId="1826" xr:uid="{00000000-0005-0000-0000-000023070000}"/>
    <cellStyle name="T_Book1_Du thao Ke hoach 2011_BC Ban KTNS_Book5" xfId="1827" xr:uid="{00000000-0005-0000-0000-000024070000}"/>
    <cellStyle name="T_Book1_Du thao Ke hoach 2011_BC Ban KTNS_KH KTXH NAM 2014" xfId="1828" xr:uid="{00000000-0005-0000-0000-000025070000}"/>
    <cellStyle name="T_Book1_Du thao Ke hoach 2011_BC Ban KTNS_KH KTXH NAM 2014-1" xfId="1829" xr:uid="{00000000-0005-0000-0000-000026070000}"/>
    <cellStyle name="T_Book1_DuongBL(HM LK Q1.07)" xfId="1830" xr:uid="{00000000-0005-0000-0000-000027070000}"/>
    <cellStyle name="T_Book1_Hang Tom goi9 9-07(Cau 12 sua)" xfId="1831" xr:uid="{00000000-0005-0000-0000-000028070000}"/>
    <cellStyle name="T_Book1_Ket qua phan bo von nam 2008" xfId="1832" xr:uid="{00000000-0005-0000-0000-000029070000}"/>
    <cellStyle name="T_Book1_Ket qua phan bo von nam 2008_131114- Bieu giao du toan CTMTQG 2014 giao" xfId="1833" xr:uid="{00000000-0005-0000-0000-00002A070000}"/>
    <cellStyle name="T_Book1_Ket qua phan bo von nam 2008_BIEU MAU KE HOACH KINH TE XA HOI NAM 2013(2)" xfId="1834" xr:uid="{00000000-0005-0000-0000-00002B070000}"/>
    <cellStyle name="T_Book1_Ket qua phan bo von nam 2008_Book2" xfId="1835" xr:uid="{00000000-0005-0000-0000-00002C070000}"/>
    <cellStyle name="T_Book1_Ket qua phan bo von nam 2008_Book4" xfId="1836" xr:uid="{00000000-0005-0000-0000-00002D070000}"/>
    <cellStyle name="T_Book1_Ket qua phan bo von nam 2008_Book5" xfId="1837" xr:uid="{00000000-0005-0000-0000-00002E070000}"/>
    <cellStyle name="T_Book1_Ket qua phan bo von nam 2008_KH KTXH NAM 2014" xfId="1838" xr:uid="{00000000-0005-0000-0000-00002F070000}"/>
    <cellStyle name="T_Book1_Ket qua phan bo von nam 2008_KH KTXH NAM 2014-1" xfId="1839" xr:uid="{00000000-0005-0000-0000-000030070000}"/>
    <cellStyle name="T_Book1_KH XDCB_2008 lan 2 sua ngay 10-11" xfId="1840" xr:uid="{00000000-0005-0000-0000-000031070000}"/>
    <cellStyle name="T_Book1_KH XDCB_2008 lan 2 sua ngay 10-11_131114- Bieu giao du toan CTMTQG 2014 giao" xfId="1841" xr:uid="{00000000-0005-0000-0000-000032070000}"/>
    <cellStyle name="T_Book1_KH XDCB_2008 lan 2 sua ngay 10-11_BIEU MAU KE HOACH KINH TE XA HOI NAM 2013(2)" xfId="1842" xr:uid="{00000000-0005-0000-0000-000033070000}"/>
    <cellStyle name="T_Book1_KH XDCB_2008 lan 2 sua ngay 10-11_Book2" xfId="1843" xr:uid="{00000000-0005-0000-0000-000034070000}"/>
    <cellStyle name="T_Book1_KH XDCB_2008 lan 2 sua ngay 10-11_Book4" xfId="1844" xr:uid="{00000000-0005-0000-0000-000035070000}"/>
    <cellStyle name="T_Book1_KH XDCB_2008 lan 2 sua ngay 10-11_Book5" xfId="1845" xr:uid="{00000000-0005-0000-0000-000036070000}"/>
    <cellStyle name="T_Book1_KH XDCB_2008 lan 2 sua ngay 10-11_KH KTXH NAM 2014" xfId="1846" xr:uid="{00000000-0005-0000-0000-000037070000}"/>
    <cellStyle name="T_Book1_KH XDCB_2008 lan 2 sua ngay 10-11_KH KTXH NAM 2014-1" xfId="1847" xr:uid="{00000000-0005-0000-0000-000038070000}"/>
    <cellStyle name="T_Book1_KHKT_tong_quat_BK_(Pb_20.3)(1) (1)" xfId="1848" xr:uid="{00000000-0005-0000-0000-000039070000}"/>
    <cellStyle name="T_Book1_Khoi luong chinh Hang Tom" xfId="1849" xr:uid="{00000000-0005-0000-0000-00003A070000}"/>
    <cellStyle name="T_Book1_Luy ke von ung nam 2011 -Thoa gui ngay 12-8-2012" xfId="1850" xr:uid="{00000000-0005-0000-0000-00003B070000}"/>
    <cellStyle name="T_Book1_Luy ke von ung nam 2011 -Thoa gui ngay 12-8-2012_131114- Bieu giao du toan CTMTQG 2014 giao" xfId="1851" xr:uid="{00000000-0005-0000-0000-00003C070000}"/>
    <cellStyle name="T_Book1_Muc thu-chi KB Ha Tay" xfId="1852" xr:uid="{00000000-0005-0000-0000-00003D070000}"/>
    <cellStyle name="T_Book1_Muc thu-chi KB Ha Tay_KHKT_tong_quat_BK_(Pb_20.3)(1) (1)" xfId="1853" xr:uid="{00000000-0005-0000-0000-00003E070000}"/>
    <cellStyle name="T_Book1_Muc thu-chi KB Ha Tay_PL 2 (Nhan su)" xfId="1854" xr:uid="{00000000-0005-0000-0000-00003F070000}"/>
    <cellStyle name="T_Book1_Muc thu-chi KB Ha Tay_PL1 " xfId="1855" xr:uid="{00000000-0005-0000-0000-000040070000}"/>
    <cellStyle name="T_Book1_Nhu cau von ung truoc 2011 Tha h Hoa + Nge An gui TW" xfId="1856" xr:uid="{00000000-0005-0000-0000-000041070000}"/>
    <cellStyle name="T_Book1_Nhu cau von ung truoc 2011 Tha h Hoa + Nge An gui TW_131114- Bieu giao du toan CTMTQG 2014 giao" xfId="1857" xr:uid="{00000000-0005-0000-0000-000042070000}"/>
    <cellStyle name="T_Book1_phu luc tong ket tinh hinh TH giai doan 03-10 (ngay 30)" xfId="1858" xr:uid="{00000000-0005-0000-0000-000045070000}"/>
    <cellStyle name="T_Book1_phu luc tong ket tinh hinh TH giai doan 03-10 (ngay 30)_131114- Bieu giao du toan CTMTQG 2014 giao" xfId="1859" xr:uid="{00000000-0005-0000-0000-000046070000}"/>
    <cellStyle name="T_Book1_PL 2 (Nhan su)" xfId="1860" xr:uid="{00000000-0005-0000-0000-000043070000}"/>
    <cellStyle name="T_Book1_PL1 " xfId="1861" xr:uid="{00000000-0005-0000-0000-000044070000}"/>
    <cellStyle name="T_Book1_TABMIS 16.12.10" xfId="1862" xr:uid="{00000000-0005-0000-0000-000047070000}"/>
    <cellStyle name="T_Book1_TABMIS chuyen nguon" xfId="1863" xr:uid="{00000000-0005-0000-0000-000048070000}"/>
    <cellStyle name="T_Book1_TH Ket qua thao luan nam 2015 - Vong 1- TCT (Nhan)" xfId="1864" xr:uid="{00000000-0005-0000-0000-00004C070000}"/>
    <cellStyle name="T_Book1_TH Ket qua thao luan nam 2015 - Vong 1- TCT (Nhan)_Von ngoai nuoc" xfId="1865" xr:uid="{00000000-0005-0000-0000-00004D070000}"/>
    <cellStyle name="T_Book1_TH ung tren 70%-Ra soat phap ly-8-6 (dung de chuyen vao vu TH)" xfId="1866" xr:uid="{00000000-0005-0000-0000-00004E070000}"/>
    <cellStyle name="T_Book1_TH ung tren 70%-Ra soat phap ly-8-6 (dung de chuyen vao vu TH)_131114- Bieu giao du toan CTMTQG 2014 giao" xfId="1867" xr:uid="{00000000-0005-0000-0000-00004F070000}"/>
    <cellStyle name="T_Book1_TH y kien LD_KH 2010 Ca Nuoc 22-9-2011-Gui ca Vu" xfId="1868" xr:uid="{00000000-0005-0000-0000-000050070000}"/>
    <cellStyle name="T_Book1_TH y kien LD_KH 2010 Ca Nuoc 22-9-2011-Gui ca Vu_131114- Bieu giao du toan CTMTQG 2014 giao" xfId="1869" xr:uid="{00000000-0005-0000-0000-000051070000}"/>
    <cellStyle name="T_Book1_Thiet bi" xfId="1870" xr:uid="{00000000-0005-0000-0000-000052070000}"/>
    <cellStyle name="T_Book1_Thiet bi_131114- Bieu giao du toan CTMTQG 2014 giao" xfId="1871" xr:uid="{00000000-0005-0000-0000-000053070000}"/>
    <cellStyle name="T_Book1_TINH HNH DOANH NGHIEP GUI KIEM TOAN" xfId="1872" xr:uid="{00000000-0005-0000-0000-000049070000}"/>
    <cellStyle name="T_Book1_TN - Ho tro khac 2011" xfId="1873" xr:uid="{00000000-0005-0000-0000-00004A070000}"/>
    <cellStyle name="T_Book1_TN - Ho tro khac 2011_131114- Bieu giao du toan CTMTQG 2014 giao" xfId="1874" xr:uid="{00000000-0005-0000-0000-00004B070000}"/>
    <cellStyle name="T_Book1_ung truoc 2011 NSTW Thanh Hoa + Nge An gui Thu 12-5" xfId="1875" xr:uid="{00000000-0005-0000-0000-000054070000}"/>
    <cellStyle name="T_Book1_ung truoc 2011 NSTW Thanh Hoa + Nge An gui Thu 12-5_131114- Bieu giao du toan CTMTQG 2014 giao" xfId="1876" xr:uid="{00000000-0005-0000-0000-000055070000}"/>
    <cellStyle name="T_Book1_Von ngoai nuoc" xfId="1877" xr:uid="{00000000-0005-0000-0000-000056070000}"/>
    <cellStyle name="T_Book1_" xfId="1878" xr:uid="{00000000-0005-0000-0000-000057070000}"/>
    <cellStyle name="T_Cao do mong cong, phai tuyen" xfId="1879" xr:uid="{00000000-0005-0000-0000-000058070000}"/>
    <cellStyle name="T_cap phat 2016" xfId="1880" xr:uid="{00000000-0005-0000-0000-000059070000}"/>
    <cellStyle name="T_cap phat den thoi diem 25.10" xfId="1881" xr:uid="{00000000-0005-0000-0000-00005A070000}"/>
    <cellStyle name="T_cap phat den thoi diem 25.10_3. Biểu Chi QT 2016" xfId="1882" xr:uid="{00000000-0005-0000-0000-00005B070000}"/>
    <cellStyle name="T_Chuan bi dau tu nam 2008" xfId="1883" xr:uid="{00000000-0005-0000-0000-000099070000}"/>
    <cellStyle name="T_Chuan bi dau tu nam 2008_131114- Bieu giao du toan CTMTQG 2014 giao" xfId="1884" xr:uid="{00000000-0005-0000-0000-00009A070000}"/>
    <cellStyle name="T_Copy of Bao cao  XDCB 7 thang nam 2008_So KH&amp;DT SUA" xfId="1885" xr:uid="{00000000-0005-0000-0000-00005C070000}"/>
    <cellStyle name="T_Copy of Bao cao  XDCB 7 thang nam 2008_So KH&amp;DT SUA_131114- Bieu giao du toan CTMTQG 2014 giao" xfId="1886" xr:uid="{00000000-0005-0000-0000-00005D070000}"/>
    <cellStyle name="T_CPK" xfId="1887" xr:uid="{00000000-0005-0000-0000-00005E070000}"/>
    <cellStyle name="T_CPK_131114- Bieu giao du toan CTMTQG 2014 giao" xfId="1888" xr:uid="{00000000-0005-0000-0000-00005F070000}"/>
    <cellStyle name="T_CTMTQG 2008" xfId="1889" xr:uid="{00000000-0005-0000-0000-000060070000}"/>
    <cellStyle name="T_CTMTQG 2008_131114- Bieu giao du toan CTMTQG 2014 giao" xfId="1890" xr:uid="{00000000-0005-0000-0000-000061070000}"/>
    <cellStyle name="T_CTMTQG 2008_Bieu mau danh muc du an thuoc CTMTQG nam 2008" xfId="1891" xr:uid="{00000000-0005-0000-0000-000062070000}"/>
    <cellStyle name="T_CTMTQG 2008_Bieu mau danh muc du an thuoc CTMTQG nam 2008_131114- Bieu giao du toan CTMTQG 2014 giao" xfId="1892" xr:uid="{00000000-0005-0000-0000-000063070000}"/>
    <cellStyle name="T_CTMTQG 2008_Bieu mau danh muc du an thuoc CTMTQG nam 2008_BIEU MAU KE HOACH KINH TE XA HOI NAM 2013(2)" xfId="1893" xr:uid="{00000000-0005-0000-0000-000064070000}"/>
    <cellStyle name="T_CTMTQG 2008_Bieu mau danh muc du an thuoc CTMTQG nam 2008_Book2" xfId="1894" xr:uid="{00000000-0005-0000-0000-000065070000}"/>
    <cellStyle name="T_CTMTQG 2008_Bieu mau danh muc du an thuoc CTMTQG nam 2008_Book4" xfId="1895" xr:uid="{00000000-0005-0000-0000-000066070000}"/>
    <cellStyle name="T_CTMTQG 2008_Bieu mau danh muc du an thuoc CTMTQG nam 2008_Book5" xfId="1896" xr:uid="{00000000-0005-0000-0000-000067070000}"/>
    <cellStyle name="T_CTMTQG 2008_Bieu mau danh muc du an thuoc CTMTQG nam 2008_KH KTXH NAM 2014" xfId="1897" xr:uid="{00000000-0005-0000-0000-000068070000}"/>
    <cellStyle name="T_CTMTQG 2008_Bieu mau danh muc du an thuoc CTMTQG nam 2008_KH KTXH NAM 2014-1" xfId="1898" xr:uid="{00000000-0005-0000-0000-000069070000}"/>
    <cellStyle name="T_CTMTQG 2008_BIEU MAU KE HOACH KINH TE XA HOI NAM 2013(2)" xfId="1899" xr:uid="{00000000-0005-0000-0000-00006A070000}"/>
    <cellStyle name="T_CTMTQG 2008_Book2" xfId="1900" xr:uid="{00000000-0005-0000-0000-00006B070000}"/>
    <cellStyle name="T_CTMTQG 2008_Book4" xfId="1901" xr:uid="{00000000-0005-0000-0000-00006C070000}"/>
    <cellStyle name="T_CTMTQG 2008_Book5" xfId="1902" xr:uid="{00000000-0005-0000-0000-00006D070000}"/>
    <cellStyle name="T_CTMTQG 2008_Hi-Tong hop KQ phan bo KH nam 08- LD fong giao 15-11-08" xfId="1903" xr:uid="{00000000-0005-0000-0000-00006E070000}"/>
    <cellStyle name="T_CTMTQG 2008_Hi-Tong hop KQ phan bo KH nam 08- LD fong giao 15-11-08_131114- Bieu giao du toan CTMTQG 2014 giao" xfId="1904" xr:uid="{00000000-0005-0000-0000-00006F070000}"/>
    <cellStyle name="T_CTMTQG 2008_Hi-Tong hop KQ phan bo KH nam 08- LD fong giao 15-11-08_BIEU MAU KE HOACH KINH TE XA HOI NAM 2013(2)" xfId="1905" xr:uid="{00000000-0005-0000-0000-000070070000}"/>
    <cellStyle name="T_CTMTQG 2008_Hi-Tong hop KQ phan bo KH nam 08- LD fong giao 15-11-08_Book2" xfId="1906" xr:uid="{00000000-0005-0000-0000-000071070000}"/>
    <cellStyle name="T_CTMTQG 2008_Hi-Tong hop KQ phan bo KH nam 08- LD fong giao 15-11-08_Book4" xfId="1907" xr:uid="{00000000-0005-0000-0000-000072070000}"/>
    <cellStyle name="T_CTMTQG 2008_Hi-Tong hop KQ phan bo KH nam 08- LD fong giao 15-11-08_Book5" xfId="1908" xr:uid="{00000000-0005-0000-0000-000073070000}"/>
    <cellStyle name="T_CTMTQG 2008_Hi-Tong hop KQ phan bo KH nam 08- LD fong giao 15-11-08_KH KTXH NAM 2014" xfId="1909" xr:uid="{00000000-0005-0000-0000-000074070000}"/>
    <cellStyle name="T_CTMTQG 2008_Hi-Tong hop KQ phan bo KH nam 08- LD fong giao 15-11-08_KH KTXH NAM 2014-1" xfId="1910" xr:uid="{00000000-0005-0000-0000-000075070000}"/>
    <cellStyle name="T_CTMTQG 2008_Ket qua thuc hien nam 2008" xfId="1911" xr:uid="{00000000-0005-0000-0000-000076070000}"/>
    <cellStyle name="T_CTMTQG 2008_Ket qua thuc hien nam 2008_131114- Bieu giao du toan CTMTQG 2014 giao" xfId="1912" xr:uid="{00000000-0005-0000-0000-000077070000}"/>
    <cellStyle name="T_CTMTQG 2008_Ket qua thuc hien nam 2008_BIEU MAU KE HOACH KINH TE XA HOI NAM 2013(2)" xfId="1913" xr:uid="{00000000-0005-0000-0000-000078070000}"/>
    <cellStyle name="T_CTMTQG 2008_Ket qua thuc hien nam 2008_Book2" xfId="1914" xr:uid="{00000000-0005-0000-0000-000079070000}"/>
    <cellStyle name="T_CTMTQG 2008_Ket qua thuc hien nam 2008_Book4" xfId="1915" xr:uid="{00000000-0005-0000-0000-00007A070000}"/>
    <cellStyle name="T_CTMTQG 2008_Ket qua thuc hien nam 2008_Book5" xfId="1916" xr:uid="{00000000-0005-0000-0000-00007B070000}"/>
    <cellStyle name="T_CTMTQG 2008_Ket qua thuc hien nam 2008_KH KTXH NAM 2014" xfId="1917" xr:uid="{00000000-0005-0000-0000-00007C070000}"/>
    <cellStyle name="T_CTMTQG 2008_Ket qua thuc hien nam 2008_KH KTXH NAM 2014-1" xfId="1918" xr:uid="{00000000-0005-0000-0000-00007D070000}"/>
    <cellStyle name="T_CTMTQG 2008_KH KTXH NAM 2014" xfId="1919" xr:uid="{00000000-0005-0000-0000-00007E070000}"/>
    <cellStyle name="T_CTMTQG 2008_KH KTXH NAM 2014-1" xfId="1920" xr:uid="{00000000-0005-0000-0000-00007F070000}"/>
    <cellStyle name="T_CTMTQG 2008_KH XDCB_2008 lan 1" xfId="1921" xr:uid="{00000000-0005-0000-0000-000080070000}"/>
    <cellStyle name="T_CTMTQG 2008_KH XDCB_2008 lan 1 sua ngay 27-10" xfId="1922" xr:uid="{00000000-0005-0000-0000-000081070000}"/>
    <cellStyle name="T_CTMTQG 2008_KH XDCB_2008 lan 1 sua ngay 27-10_131114- Bieu giao du toan CTMTQG 2014 giao" xfId="1923" xr:uid="{00000000-0005-0000-0000-000082070000}"/>
    <cellStyle name="T_CTMTQG 2008_KH XDCB_2008 lan 1 sua ngay 27-10_BIEU MAU KE HOACH KINH TE XA HOI NAM 2013(2)" xfId="1924" xr:uid="{00000000-0005-0000-0000-000083070000}"/>
    <cellStyle name="T_CTMTQG 2008_KH XDCB_2008 lan 1 sua ngay 27-10_Book2" xfId="1925" xr:uid="{00000000-0005-0000-0000-000084070000}"/>
    <cellStyle name="T_CTMTQG 2008_KH XDCB_2008 lan 1 sua ngay 27-10_Book4" xfId="1926" xr:uid="{00000000-0005-0000-0000-000085070000}"/>
    <cellStyle name="T_CTMTQG 2008_KH XDCB_2008 lan 1 sua ngay 27-10_Book5" xfId="1927" xr:uid="{00000000-0005-0000-0000-000086070000}"/>
    <cellStyle name="T_CTMTQG 2008_KH XDCB_2008 lan 1 sua ngay 27-10_KH KTXH NAM 2014" xfId="1928" xr:uid="{00000000-0005-0000-0000-000087070000}"/>
    <cellStyle name="T_CTMTQG 2008_KH XDCB_2008 lan 1 sua ngay 27-10_KH KTXH NAM 2014-1" xfId="1929" xr:uid="{00000000-0005-0000-0000-000088070000}"/>
    <cellStyle name="T_CTMTQG 2008_KH XDCB_2008 lan 1_131114- Bieu giao du toan CTMTQG 2014 giao" xfId="1930" xr:uid="{00000000-0005-0000-0000-000089070000}"/>
    <cellStyle name="T_CTMTQG 2008_KH XDCB_2008 lan 1_BIEU MAU KE HOACH KINH TE XA HOI NAM 2013(2)" xfId="1931" xr:uid="{00000000-0005-0000-0000-00008A070000}"/>
    <cellStyle name="T_CTMTQG 2008_KH XDCB_2008 lan 1_Book2" xfId="1932" xr:uid="{00000000-0005-0000-0000-00008B070000}"/>
    <cellStyle name="T_CTMTQG 2008_KH XDCB_2008 lan 1_Book4" xfId="1933" xr:uid="{00000000-0005-0000-0000-00008C070000}"/>
    <cellStyle name="T_CTMTQG 2008_KH XDCB_2008 lan 1_Book5" xfId="1934" xr:uid="{00000000-0005-0000-0000-00008D070000}"/>
    <cellStyle name="T_CTMTQG 2008_KH XDCB_2008 lan 1_KH KTXH NAM 2014" xfId="1935" xr:uid="{00000000-0005-0000-0000-00008E070000}"/>
    <cellStyle name="T_CTMTQG 2008_KH XDCB_2008 lan 1_KH KTXH NAM 2014-1" xfId="1936" xr:uid="{00000000-0005-0000-0000-00008F070000}"/>
    <cellStyle name="T_CTMTQG 2008_KH XDCB_2008 lan 2 sua ngay 10-11" xfId="1937" xr:uid="{00000000-0005-0000-0000-000090070000}"/>
    <cellStyle name="T_CTMTQG 2008_KH XDCB_2008 lan 2 sua ngay 10-11_131114- Bieu giao du toan CTMTQG 2014 giao" xfId="1938" xr:uid="{00000000-0005-0000-0000-000091070000}"/>
    <cellStyle name="T_CTMTQG 2008_KH XDCB_2008 lan 2 sua ngay 10-11_BIEU MAU KE HOACH KINH TE XA HOI NAM 2013(2)" xfId="1939" xr:uid="{00000000-0005-0000-0000-000092070000}"/>
    <cellStyle name="T_CTMTQG 2008_KH XDCB_2008 lan 2 sua ngay 10-11_Book2" xfId="1940" xr:uid="{00000000-0005-0000-0000-000093070000}"/>
    <cellStyle name="T_CTMTQG 2008_KH XDCB_2008 lan 2 sua ngay 10-11_Book4" xfId="1941" xr:uid="{00000000-0005-0000-0000-000094070000}"/>
    <cellStyle name="T_CTMTQG 2008_KH XDCB_2008 lan 2 sua ngay 10-11_Book5" xfId="1942" xr:uid="{00000000-0005-0000-0000-000095070000}"/>
    <cellStyle name="T_CTMTQG 2008_KH XDCB_2008 lan 2 sua ngay 10-11_KH KTXH NAM 2014" xfId="1943" xr:uid="{00000000-0005-0000-0000-000096070000}"/>
    <cellStyle name="T_CTMTQG 2008_KH XDCB_2008 lan 2 sua ngay 10-11_KH KTXH NAM 2014-1" xfId="1944" xr:uid="{00000000-0005-0000-0000-000097070000}"/>
    <cellStyle name="T_CTMTQG 2015" xfId="1945" xr:uid="{00000000-0005-0000-0000-000098070000}"/>
    <cellStyle name="T_Du an khoi cong moi nam 2010" xfId="1946" xr:uid="{00000000-0005-0000-0000-00009B070000}"/>
    <cellStyle name="T_Du an khoi cong moi nam 2010_131114- Bieu giao du toan CTMTQG 2014 giao" xfId="1947" xr:uid="{00000000-0005-0000-0000-00009C070000}"/>
    <cellStyle name="T_DU AN TKQH VA CHUAN BI DAU TU NAM 2007 sua ngay 9-11" xfId="1948" xr:uid="{00000000-0005-0000-0000-00009D070000}"/>
    <cellStyle name="T_DU AN TKQH VA CHUAN BI DAU TU NAM 2007 sua ngay 9-11_131114- Bieu giao du toan CTMTQG 2014 giao" xfId="1949" xr:uid="{00000000-0005-0000-0000-00009E070000}"/>
    <cellStyle name="T_DU AN TKQH VA CHUAN BI DAU TU NAM 2007 sua ngay 9-11_Bieu mau danh muc du an thuoc CTMTQG nam 2008" xfId="1950" xr:uid="{00000000-0005-0000-0000-00009F070000}"/>
    <cellStyle name="T_DU AN TKQH VA CHUAN BI DAU TU NAM 2007 sua ngay 9-11_Bieu mau danh muc du an thuoc CTMTQG nam 2008_131114- Bieu giao du toan CTMTQG 2014 giao" xfId="1951" xr:uid="{00000000-0005-0000-0000-0000A0070000}"/>
    <cellStyle name="T_DU AN TKQH VA CHUAN BI DAU TU NAM 2007 sua ngay 9-11_Book1" xfId="1952" xr:uid="{00000000-0005-0000-0000-0000A1070000}"/>
    <cellStyle name="T_DU AN TKQH VA CHUAN BI DAU TU NAM 2007 sua ngay 9-11_Book1_BIEU MAU KE HOACH KINH TE XA HOI NAM 2013(2)" xfId="1953" xr:uid="{00000000-0005-0000-0000-0000A2070000}"/>
    <cellStyle name="T_DU AN TKQH VA CHUAN BI DAU TU NAM 2007 sua ngay 9-11_Book1_Book2" xfId="1954" xr:uid="{00000000-0005-0000-0000-0000A3070000}"/>
    <cellStyle name="T_DU AN TKQH VA CHUAN BI DAU TU NAM 2007 sua ngay 9-11_Book1_Book4" xfId="1955" xr:uid="{00000000-0005-0000-0000-0000A4070000}"/>
    <cellStyle name="T_DU AN TKQH VA CHUAN BI DAU TU NAM 2007 sua ngay 9-11_Book1_Book5" xfId="1956" xr:uid="{00000000-0005-0000-0000-0000A5070000}"/>
    <cellStyle name="T_DU AN TKQH VA CHUAN BI DAU TU NAM 2007 sua ngay 9-11_Book1_KH KTXH NAM 2014" xfId="1957" xr:uid="{00000000-0005-0000-0000-0000A6070000}"/>
    <cellStyle name="T_DU AN TKQH VA CHUAN BI DAU TU NAM 2007 sua ngay 9-11_Book1_KH KTXH NAM 2014-1" xfId="1958" xr:uid="{00000000-0005-0000-0000-0000A7070000}"/>
    <cellStyle name="T_DU AN TKQH VA CHUAN BI DAU TU NAM 2007 sua ngay 9-11_Du an khoi cong moi nam 2010" xfId="1959" xr:uid="{00000000-0005-0000-0000-0000A8070000}"/>
    <cellStyle name="T_DU AN TKQH VA CHUAN BI DAU TU NAM 2007 sua ngay 9-11_Du an khoi cong moi nam 2010_131114- Bieu giao du toan CTMTQG 2014 giao" xfId="1960" xr:uid="{00000000-0005-0000-0000-0000A9070000}"/>
    <cellStyle name="T_DU AN TKQH VA CHUAN BI DAU TU NAM 2007 sua ngay 9-11_Du thao Ke hoach 2011_BC Ban KTNS" xfId="1961" xr:uid="{00000000-0005-0000-0000-0000AA070000}"/>
    <cellStyle name="T_DU AN TKQH VA CHUAN BI DAU TU NAM 2007 sua ngay 9-11_Du thao Ke hoach 2011_BC Ban KTNS_BIEU MAU KE HOACH KINH TE XA HOI NAM 2013(2)" xfId="1962" xr:uid="{00000000-0005-0000-0000-0000AB070000}"/>
    <cellStyle name="T_DU AN TKQH VA CHUAN BI DAU TU NAM 2007 sua ngay 9-11_Du thao Ke hoach 2011_BC Ban KTNS_Book2" xfId="1963" xr:uid="{00000000-0005-0000-0000-0000AC070000}"/>
    <cellStyle name="T_DU AN TKQH VA CHUAN BI DAU TU NAM 2007 sua ngay 9-11_Du thao Ke hoach 2011_BC Ban KTNS_Book4" xfId="1964" xr:uid="{00000000-0005-0000-0000-0000AD070000}"/>
    <cellStyle name="T_DU AN TKQH VA CHUAN BI DAU TU NAM 2007 sua ngay 9-11_Du thao Ke hoach 2011_BC Ban KTNS_Book5" xfId="1965" xr:uid="{00000000-0005-0000-0000-0000AE070000}"/>
    <cellStyle name="T_DU AN TKQH VA CHUAN BI DAU TU NAM 2007 sua ngay 9-11_Du thao Ke hoach 2011_BC Ban KTNS_KH KTXH NAM 2014" xfId="1966" xr:uid="{00000000-0005-0000-0000-0000AF070000}"/>
    <cellStyle name="T_DU AN TKQH VA CHUAN BI DAU TU NAM 2007 sua ngay 9-11_Du thao Ke hoach 2011_BC Ban KTNS_KH KTXH NAM 2014-1" xfId="1967" xr:uid="{00000000-0005-0000-0000-0000B0070000}"/>
    <cellStyle name="T_DU AN TKQH VA CHUAN BI DAU TU NAM 2007 sua ngay 9-11_Ket qua phan bo von nam 2008" xfId="1968" xr:uid="{00000000-0005-0000-0000-0000B1070000}"/>
    <cellStyle name="T_DU AN TKQH VA CHUAN BI DAU TU NAM 2007 sua ngay 9-11_Ket qua phan bo von nam 2008_131114- Bieu giao du toan CTMTQG 2014 giao" xfId="1969" xr:uid="{00000000-0005-0000-0000-0000B2070000}"/>
    <cellStyle name="T_DU AN TKQH VA CHUAN BI DAU TU NAM 2007 sua ngay 9-11_Ket qua phan bo von nam 2008_BIEU MAU KE HOACH KINH TE XA HOI NAM 2013(2)" xfId="1970" xr:uid="{00000000-0005-0000-0000-0000B3070000}"/>
    <cellStyle name="T_DU AN TKQH VA CHUAN BI DAU TU NAM 2007 sua ngay 9-11_Ket qua phan bo von nam 2008_Book2" xfId="1971" xr:uid="{00000000-0005-0000-0000-0000B4070000}"/>
    <cellStyle name="T_DU AN TKQH VA CHUAN BI DAU TU NAM 2007 sua ngay 9-11_Ket qua phan bo von nam 2008_Book4" xfId="1972" xr:uid="{00000000-0005-0000-0000-0000B5070000}"/>
    <cellStyle name="T_DU AN TKQH VA CHUAN BI DAU TU NAM 2007 sua ngay 9-11_Ket qua phan bo von nam 2008_Book5" xfId="1973" xr:uid="{00000000-0005-0000-0000-0000B6070000}"/>
    <cellStyle name="T_DU AN TKQH VA CHUAN BI DAU TU NAM 2007 sua ngay 9-11_Ket qua phan bo von nam 2008_KH KTXH NAM 2014" xfId="1974" xr:uid="{00000000-0005-0000-0000-0000B7070000}"/>
    <cellStyle name="T_DU AN TKQH VA CHUAN BI DAU TU NAM 2007 sua ngay 9-11_Ket qua phan bo von nam 2008_KH KTXH NAM 2014-1" xfId="1975" xr:uid="{00000000-0005-0000-0000-0000B8070000}"/>
    <cellStyle name="T_DU AN TKQH VA CHUAN BI DAU TU NAM 2007 sua ngay 9-11_KH XDCB_2008 lan 2 sua ngay 10-11" xfId="1976" xr:uid="{00000000-0005-0000-0000-0000B9070000}"/>
    <cellStyle name="T_DU AN TKQH VA CHUAN BI DAU TU NAM 2007 sua ngay 9-11_KH XDCB_2008 lan 2 sua ngay 10-11_131114- Bieu giao du toan CTMTQG 2014 giao" xfId="1977" xr:uid="{00000000-0005-0000-0000-0000BA070000}"/>
    <cellStyle name="T_DU AN TKQH VA CHUAN BI DAU TU NAM 2007 sua ngay 9-11_KH XDCB_2008 lan 2 sua ngay 10-11_BIEU MAU KE HOACH KINH TE XA HOI NAM 2013(2)" xfId="1978" xr:uid="{00000000-0005-0000-0000-0000BB070000}"/>
    <cellStyle name="T_DU AN TKQH VA CHUAN BI DAU TU NAM 2007 sua ngay 9-11_KH XDCB_2008 lan 2 sua ngay 10-11_Book2" xfId="1979" xr:uid="{00000000-0005-0000-0000-0000BC070000}"/>
    <cellStyle name="T_DU AN TKQH VA CHUAN BI DAU TU NAM 2007 sua ngay 9-11_KH XDCB_2008 lan 2 sua ngay 10-11_Book4" xfId="1980" xr:uid="{00000000-0005-0000-0000-0000BD070000}"/>
    <cellStyle name="T_DU AN TKQH VA CHUAN BI DAU TU NAM 2007 sua ngay 9-11_KH XDCB_2008 lan 2 sua ngay 10-11_Book5" xfId="1981" xr:uid="{00000000-0005-0000-0000-0000BE070000}"/>
    <cellStyle name="T_DU AN TKQH VA CHUAN BI DAU TU NAM 2007 sua ngay 9-11_KH XDCB_2008 lan 2 sua ngay 10-11_KH KTXH NAM 2014" xfId="1982" xr:uid="{00000000-0005-0000-0000-0000BF070000}"/>
    <cellStyle name="T_DU AN TKQH VA CHUAN BI DAU TU NAM 2007 sua ngay 9-11_KH XDCB_2008 lan 2 sua ngay 10-11_KH KTXH NAM 2014-1" xfId="1983" xr:uid="{00000000-0005-0000-0000-0000C0070000}"/>
    <cellStyle name="T_Du thao Ke hoach 2011_BC Ban KTNS" xfId="1984" xr:uid="{00000000-0005-0000-0000-0000C3070000}"/>
    <cellStyle name="T_Du thao Ke hoach 2011_BC Ban KTNS_BIEU MAU KE HOACH KINH TE XA HOI NAM 2013(2)" xfId="1985" xr:uid="{00000000-0005-0000-0000-0000C4070000}"/>
    <cellStyle name="T_Du thao Ke hoach 2011_BC Ban KTNS_Book2" xfId="1986" xr:uid="{00000000-0005-0000-0000-0000C5070000}"/>
    <cellStyle name="T_Du thao Ke hoach 2011_BC Ban KTNS_Book4" xfId="1987" xr:uid="{00000000-0005-0000-0000-0000C6070000}"/>
    <cellStyle name="T_Du thao Ke hoach 2011_BC Ban KTNS_Book5" xfId="1988" xr:uid="{00000000-0005-0000-0000-0000C7070000}"/>
    <cellStyle name="T_Du thao Ke hoach 2011_BC Ban KTNS_KH KTXH NAM 2014" xfId="1989" xr:uid="{00000000-0005-0000-0000-0000C8070000}"/>
    <cellStyle name="T_Du thao Ke hoach 2011_BC Ban KTNS_KH KTXH NAM 2014-1" xfId="1990" xr:uid="{00000000-0005-0000-0000-0000C9070000}"/>
    <cellStyle name="T_du toan dieu chinh  20-8-2006" xfId="1991" xr:uid="{00000000-0005-0000-0000-0000C1070000}"/>
    <cellStyle name="T_du toan dieu chinh  20-8-2006_131114- Bieu giao du toan CTMTQG 2014 giao" xfId="1992" xr:uid="{00000000-0005-0000-0000-0000C2070000}"/>
    <cellStyle name="T_Ho so DT thu NSNN nam 2014 (V1)" xfId="1993" xr:uid="{00000000-0005-0000-0000-0000CA070000}"/>
    <cellStyle name="T_Ho so DT thu NSNN nam 2014 (V1)_Von ngoai nuoc" xfId="1994" xr:uid="{00000000-0005-0000-0000-0000CB070000}"/>
    <cellStyle name="T_Ht-PTq1-03" xfId="1995" xr:uid="{00000000-0005-0000-0000-0000CC070000}"/>
    <cellStyle name="T_Ht-PTq1-03_131114- Bieu giao du toan CTMTQG 2014 giao" xfId="1996" xr:uid="{00000000-0005-0000-0000-0000CD070000}"/>
    <cellStyle name="T_Ke hoach KTXH  nam 2009_PKT thang 11 nam 2008" xfId="1997" xr:uid="{00000000-0005-0000-0000-0000CE070000}"/>
    <cellStyle name="T_Ke hoach KTXH  nam 2009_PKT thang 11 nam 2008_131114- Bieu giao du toan CTMTQG 2014 giao" xfId="1998" xr:uid="{00000000-0005-0000-0000-0000CF070000}"/>
    <cellStyle name="T_Ket qua dau thau" xfId="1999" xr:uid="{00000000-0005-0000-0000-0000D0070000}"/>
    <cellStyle name="T_Ket qua dau thau_131114- Bieu giao du toan CTMTQG 2014 giao" xfId="2000" xr:uid="{00000000-0005-0000-0000-0000D1070000}"/>
    <cellStyle name="T_Ket qua phan bo von nam 2008" xfId="2001" xr:uid="{00000000-0005-0000-0000-0000D2070000}"/>
    <cellStyle name="T_Ket qua phan bo von nam 2008_131114- Bieu giao du toan CTMTQG 2014 giao" xfId="2002" xr:uid="{00000000-0005-0000-0000-0000D3070000}"/>
    <cellStyle name="T_Ket qua phan bo von nam 2008_BIEU MAU KE HOACH KINH TE XA HOI NAM 2013(2)" xfId="2003" xr:uid="{00000000-0005-0000-0000-0000D4070000}"/>
    <cellStyle name="T_Ket qua phan bo von nam 2008_Book2" xfId="2004" xr:uid="{00000000-0005-0000-0000-0000D5070000}"/>
    <cellStyle name="T_Ket qua phan bo von nam 2008_Book4" xfId="2005" xr:uid="{00000000-0005-0000-0000-0000D6070000}"/>
    <cellStyle name="T_Ket qua phan bo von nam 2008_Book5" xfId="2006" xr:uid="{00000000-0005-0000-0000-0000D7070000}"/>
    <cellStyle name="T_Ket qua phan bo von nam 2008_KH KTXH NAM 2014" xfId="2007" xr:uid="{00000000-0005-0000-0000-0000D8070000}"/>
    <cellStyle name="T_Ket qua phan bo von nam 2008_KH KTXH NAM 2014-1" xfId="2008" xr:uid="{00000000-0005-0000-0000-0000D9070000}"/>
    <cellStyle name="T_KH XDCB 18-6-2010" xfId="2009" xr:uid="{00000000-0005-0000-0000-0000DA070000}"/>
    <cellStyle name="T_KH XDCB 2009" xfId="2010" xr:uid="{00000000-0005-0000-0000-0000DB070000}"/>
    <cellStyle name="T_KH XDCB_2008 lan 2 sua ngay 10-11" xfId="2011" xr:uid="{00000000-0005-0000-0000-0000DC070000}"/>
    <cellStyle name="T_KH XDCB_2008 lan 2 sua ngay 10-11_131114- Bieu giao du toan CTMTQG 2014 giao" xfId="2012" xr:uid="{00000000-0005-0000-0000-0000DD070000}"/>
    <cellStyle name="T_KH XDCB_2008 lan 2 sua ngay 10-11_BIEU MAU KE HOACH KINH TE XA HOI NAM 2013(2)" xfId="2013" xr:uid="{00000000-0005-0000-0000-0000DE070000}"/>
    <cellStyle name="T_KH XDCB_2008 lan 2 sua ngay 10-11_Book2" xfId="2014" xr:uid="{00000000-0005-0000-0000-0000DF070000}"/>
    <cellStyle name="T_KH XDCB_2008 lan 2 sua ngay 10-11_Book4" xfId="2015" xr:uid="{00000000-0005-0000-0000-0000E0070000}"/>
    <cellStyle name="T_KH XDCB_2008 lan 2 sua ngay 10-11_Book5" xfId="2016" xr:uid="{00000000-0005-0000-0000-0000E1070000}"/>
    <cellStyle name="T_KH XDCB_2008 lan 2 sua ngay 10-11_KH KTXH NAM 2014" xfId="2017" xr:uid="{00000000-0005-0000-0000-0000E2070000}"/>
    <cellStyle name="T_KH XDCB_2008 lan 2 sua ngay 10-11_KH KTXH NAM 2014-1" xfId="2018" xr:uid="{00000000-0005-0000-0000-0000E3070000}"/>
    <cellStyle name="T_KHKT_tong_quat_BK_(Pb_20.3)(1) (1)" xfId="2019" xr:uid="{00000000-0005-0000-0000-0000E4070000}"/>
    <cellStyle name="T_Lap gia BS Da Nang" xfId="2020" xr:uid="{00000000-0005-0000-0000-0000E5070000}"/>
    <cellStyle name="T_May tron be tong" xfId="2021" xr:uid="{00000000-0005-0000-0000-0000E6070000}"/>
    <cellStyle name="T_May tron be tong_2. Du toan dieu chinh 2016 xã phường 09-11" xfId="2022" xr:uid="{00000000-0005-0000-0000-0000E7070000}"/>
    <cellStyle name="T_May tron be tong_2. Du toan dieu chinh 2016 xã phường 09-11_3. Biểu Chi QT 2016" xfId="2023" xr:uid="{00000000-0005-0000-0000-0000E8070000}"/>
    <cellStyle name="T_May tron be tong_3. Biểu Chi QT 2016" xfId="2024" xr:uid="{00000000-0005-0000-0000-0000E9070000}"/>
    <cellStyle name="T_May tron be tong_3. Biểu QT Chi nam 2016 -bieu 5, 6, 7, 8, 9" xfId="2025" xr:uid="{00000000-0005-0000-0000-0000EA070000}"/>
    <cellStyle name="T_May tron be tong_3. Cac bieu QT chi NSNN 2015 tu B05-09" xfId="2026" xr:uid="{00000000-0005-0000-0000-0000EB070000}"/>
    <cellStyle name="T_May tron be tong_biểu chi xp x (1)" xfId="2027" xr:uid="{00000000-0005-0000-0000-0000EE070000}"/>
    <cellStyle name="T_May tron be tong_Bieu dieu chinh NS nam 2015 da sua - Chuan" xfId="2028" xr:uid="{00000000-0005-0000-0000-0000EC070000}"/>
    <cellStyle name="T_May tron be tong_Bieu dieu chinh NS nam 2015 da sua - Chuan_3. Biểu Chi QT 2016" xfId="2029" xr:uid="{00000000-0005-0000-0000-0000ED070000}"/>
    <cellStyle name="T_Me_Tri_6_07" xfId="2030" xr:uid="{00000000-0005-0000-0000-0000EF070000}"/>
    <cellStyle name="T_Me_Tri_6_07_131114- Bieu giao du toan CTMTQG 2014 giao" xfId="2031" xr:uid="{00000000-0005-0000-0000-0000F0070000}"/>
    <cellStyle name="T_Muc thu-chi KB Ha Tay" xfId="2032" xr:uid="{00000000-0005-0000-0000-0000F1070000}"/>
    <cellStyle name="T_Muc thu-chi KB Ha Tay_KHKT_tong_quat_BK_(Pb_20.3)(1) (1)" xfId="2033" xr:uid="{00000000-0005-0000-0000-0000F2070000}"/>
    <cellStyle name="T_Muc thu-chi KB Ha Tay_PL 2 (Nhan su)" xfId="2034" xr:uid="{00000000-0005-0000-0000-0000F3070000}"/>
    <cellStyle name="T_Muc thu-chi KB Ha Tay_PL1 " xfId="2035" xr:uid="{00000000-0005-0000-0000-0000F4070000}"/>
    <cellStyle name="T_N2 thay dat (N1-1)" xfId="2036" xr:uid="{00000000-0005-0000-0000-0000F5070000}"/>
    <cellStyle name="T_N2 thay dat (N1-1)_131114- Bieu giao du toan CTMTQG 2014 giao" xfId="2037" xr:uid="{00000000-0005-0000-0000-0000F6070000}"/>
    <cellStyle name="T_Nguonchuyensodutamung2008sang2009(Thuong)" xfId="2038" xr:uid="{00000000-0005-0000-0000-0000F7070000}"/>
    <cellStyle name="T_Phuong an can doi nam 2008" xfId="2039" xr:uid="{00000000-0005-0000-0000-000003080000}"/>
    <cellStyle name="T_Phuong an can doi nam 2008_131114- Bieu giao du toan CTMTQG 2014 giao" xfId="2040" xr:uid="{00000000-0005-0000-0000-000004080000}"/>
    <cellStyle name="T_PL 2 (Nhan su)" xfId="2041" xr:uid="{00000000-0005-0000-0000-0000F8070000}"/>
    <cellStyle name="T_PL du toan chi 2015" xfId="2042" xr:uid="{00000000-0005-0000-0000-0000F9070000}"/>
    <cellStyle name="T_PL du toan chi 2015_2. Du toan dieu chinh 2016 xã phường 09-11" xfId="2043" xr:uid="{00000000-0005-0000-0000-0000FA070000}"/>
    <cellStyle name="T_PL du toan chi 2015_2. Du toan dieu chinh 2016 xã phường 09-11_3. Biểu Chi QT 2016" xfId="2044" xr:uid="{00000000-0005-0000-0000-0000FB070000}"/>
    <cellStyle name="T_PL du toan chi 2015_3. Biểu Chi QT 2016" xfId="2045" xr:uid="{00000000-0005-0000-0000-0000FC070000}"/>
    <cellStyle name="T_PL du toan chi 2015_3. Biểu QT Chi nam 2016 -bieu 5, 6, 7, 8, 9" xfId="2046" xr:uid="{00000000-0005-0000-0000-0000FD070000}"/>
    <cellStyle name="T_PL du toan chi 2015_3. Cac bieu QT chi NSNN 2015 tu B05-09" xfId="2047" xr:uid="{00000000-0005-0000-0000-0000FE070000}"/>
    <cellStyle name="T_PL du toan chi 2015_biểu chi xp x (1)" xfId="2048" xr:uid="{00000000-0005-0000-0000-000001080000}"/>
    <cellStyle name="T_PL du toan chi 2015_Bieu dieu chinh NS nam 2015 da sua - Chuan" xfId="2049" xr:uid="{00000000-0005-0000-0000-0000FF070000}"/>
    <cellStyle name="T_PL du toan chi 2015_Bieu dieu chinh NS nam 2015 da sua - Chuan_3. Biểu Chi QT 2016" xfId="2050" xr:uid="{00000000-0005-0000-0000-000000080000}"/>
    <cellStyle name="T_PL1 " xfId="2051" xr:uid="{00000000-0005-0000-0000-000002080000}"/>
    <cellStyle name="T_QT di chuyen ca phe" xfId="2052" xr:uid="{00000000-0005-0000-0000-000005080000}"/>
    <cellStyle name="T_QTQuy2-2005" xfId="2053" xr:uid="{00000000-0005-0000-0000-000006080000}"/>
    <cellStyle name="T_QTQuy2-2005_Bangtheodoicongviec" xfId="2054" xr:uid="{00000000-0005-0000-0000-000007080000}"/>
    <cellStyle name="T_QTQuy2-2005_bc KB den ngay 15122010" xfId="2055" xr:uid="{00000000-0005-0000-0000-000008080000}"/>
    <cellStyle name="T_QTQuy2-2005_Nguonchuyensodutamung2008sang2009(Thuong)" xfId="2056" xr:uid="{00000000-0005-0000-0000-000009080000}"/>
    <cellStyle name="T_QTQuy2-2005_TABMIS 16.12.10" xfId="2057" xr:uid="{00000000-0005-0000-0000-00000A080000}"/>
    <cellStyle name="T_QTQuy2-2005_TABMIS chuyen nguon" xfId="2058" xr:uid="{00000000-0005-0000-0000-00000B080000}"/>
    <cellStyle name="T_QTQuy2-2005_TAM UNG 2010 (31.12.2010) Q IN BC" xfId="2059" xr:uid="{00000000-0005-0000-0000-00000C080000}"/>
    <cellStyle name="T_QTQuy2-2005_tham tra" xfId="2060" xr:uid="{00000000-0005-0000-0000-00000D080000}"/>
    <cellStyle name="T_Quyết toán vốn NSTP 2017 - Gửi chị Huyền" xfId="2061" xr:uid="{00000000-0005-0000-0000-00000E080000}"/>
    <cellStyle name="T_Seagame(BTL)" xfId="2062" xr:uid="{00000000-0005-0000-0000-00000F080000}"/>
    <cellStyle name="T_So GTVT" xfId="2063" xr:uid="{00000000-0005-0000-0000-000010080000}"/>
    <cellStyle name="T_So GTVT_131114- Bieu giao du toan CTMTQG 2014 giao" xfId="2064" xr:uid="{00000000-0005-0000-0000-000011080000}"/>
    <cellStyle name="T_TABMIS 16.12.10" xfId="2065" xr:uid="{00000000-0005-0000-0000-000012080000}"/>
    <cellStyle name="T_TABMIS chuyen nguon" xfId="2066" xr:uid="{00000000-0005-0000-0000-000013080000}"/>
    <cellStyle name="T_TAM UNG 2010 (31.12.2010) Q IN BC" xfId="2067" xr:uid="{00000000-0005-0000-0000-000014080000}"/>
    <cellStyle name="T_TDT + duong(8-5-07)" xfId="2068" xr:uid="{00000000-0005-0000-0000-000015080000}"/>
    <cellStyle name="T_TDT + duong(8-5-07)_131114- Bieu giao du toan CTMTQG 2014 giao" xfId="2069" xr:uid="{00000000-0005-0000-0000-000016080000}"/>
    <cellStyle name="T_TH KL 192" xfId="2070" xr:uid="{00000000-0005-0000-0000-000029080000}"/>
    <cellStyle name="T_TH KL 192_2. Du toan dieu chinh 2016 xã phường 09-11" xfId="2071" xr:uid="{00000000-0005-0000-0000-00002A080000}"/>
    <cellStyle name="T_TH KL 192_2. Du toan dieu chinh 2016 xã phường 09-11_3. Biểu Chi QT 2016" xfId="2072" xr:uid="{00000000-0005-0000-0000-00002B080000}"/>
    <cellStyle name="T_TH KL 192_3. Biểu Chi QT 2016" xfId="2073" xr:uid="{00000000-0005-0000-0000-00002C080000}"/>
    <cellStyle name="T_TH KL 192_3. Biểu QT Chi nam 2016 -bieu 5, 6, 7, 8, 9" xfId="2074" xr:uid="{00000000-0005-0000-0000-00002D080000}"/>
    <cellStyle name="T_TH KL 192_3. Cac bieu QT chi NSNN 2015 tu B05-09" xfId="2075" xr:uid="{00000000-0005-0000-0000-00002E080000}"/>
    <cellStyle name="T_TH KL 192_biểu chi xp x (1)" xfId="2076" xr:uid="{00000000-0005-0000-0000-000031080000}"/>
    <cellStyle name="T_TH KL 192_Bieu dieu chinh NS nam 2015 da sua - Chuan" xfId="2077" xr:uid="{00000000-0005-0000-0000-00002F080000}"/>
    <cellStyle name="T_TH KL 192_Bieu dieu chinh NS nam 2015 da sua - Chuan_3. Biểu Chi QT 2016" xfId="2078" xr:uid="{00000000-0005-0000-0000-000030080000}"/>
    <cellStyle name="T_Th¸ng 01" xfId="2079" xr:uid="{00000000-0005-0000-0000-000032080000}"/>
    <cellStyle name="T_Th¸ng 01_2. Du toan dieu chinh 2016 xã phường 09-11" xfId="2080" xr:uid="{00000000-0005-0000-0000-000033080000}"/>
    <cellStyle name="T_Th¸ng 01_2. Du toan dieu chinh 2016 xã phường 09-11_3. Biểu Chi QT 2016" xfId="2081" xr:uid="{00000000-0005-0000-0000-000034080000}"/>
    <cellStyle name="T_Th¸ng 01_3. Biểu Chi QT 2016" xfId="2082" xr:uid="{00000000-0005-0000-0000-000035080000}"/>
    <cellStyle name="T_Th¸ng 01_3. Biểu QT Chi nam 2016 -bieu 5, 6, 7, 8, 9" xfId="2083" xr:uid="{00000000-0005-0000-0000-000036080000}"/>
    <cellStyle name="T_Th¸ng 01_3. Cac bieu QT chi NSNN 2015 tu B05-09" xfId="2084" xr:uid="{00000000-0005-0000-0000-000037080000}"/>
    <cellStyle name="T_Th¸ng 01_biểu chi xp x (1)" xfId="2085" xr:uid="{00000000-0005-0000-0000-00003A080000}"/>
    <cellStyle name="T_Th¸ng 01_Bieu dieu chinh NS nam 2015 da sua - Chuan" xfId="2086" xr:uid="{00000000-0005-0000-0000-000038080000}"/>
    <cellStyle name="T_Th¸ng 01_Bieu dieu chinh NS nam 2015 da sua - Chuan_3. Biểu Chi QT 2016" xfId="2087" xr:uid="{00000000-0005-0000-0000-000039080000}"/>
    <cellStyle name="T_tham tra" xfId="2088" xr:uid="{00000000-0005-0000-0000-00003B080000}"/>
    <cellStyle name="T_tham_tra_du_toan" xfId="2089" xr:uid="{00000000-0005-0000-0000-00003C080000}"/>
    <cellStyle name="T_tham_tra_du_toan_131114- Bieu giao du toan CTMTQG 2014 giao" xfId="2090" xr:uid="{00000000-0005-0000-0000-00003D080000}"/>
    <cellStyle name="T_thao luan dtoan 2015 cdan" xfId="2091" xr:uid="{00000000-0005-0000-0000-00003E080000}"/>
    <cellStyle name="T_thao luan dtoan 2015 cdan_2. Du toan dieu chinh 2016 xã phường 09-11" xfId="2092" xr:uid="{00000000-0005-0000-0000-00003F080000}"/>
    <cellStyle name="T_thao luan dtoan 2015 cdan_2. Du toan dieu chinh 2016 xã phường 09-11_3. Biểu Chi QT 2016" xfId="2093" xr:uid="{00000000-0005-0000-0000-000040080000}"/>
    <cellStyle name="T_thao luan dtoan 2015 cdan_3. Biểu Chi QT 2016" xfId="2094" xr:uid="{00000000-0005-0000-0000-000041080000}"/>
    <cellStyle name="T_thao luan dtoan 2015 cdan_3. Biểu QT Chi nam 2016 -bieu 5, 6, 7, 8, 9" xfId="2095" xr:uid="{00000000-0005-0000-0000-000042080000}"/>
    <cellStyle name="T_thao luan dtoan 2015 cdan_3. Cac bieu QT chi NSNN 2015 tu B05-09" xfId="2096" xr:uid="{00000000-0005-0000-0000-000043080000}"/>
    <cellStyle name="T_thao luan dtoan 2015 cdan_biểu chi xp x (1)" xfId="2097" xr:uid="{00000000-0005-0000-0000-000046080000}"/>
    <cellStyle name="T_thao luan dtoan 2015 cdan_Bieu dieu chinh NS nam 2015 da sua - Chuan" xfId="2098" xr:uid="{00000000-0005-0000-0000-000044080000}"/>
    <cellStyle name="T_thao luan dtoan 2015 cdan_Bieu dieu chinh NS nam 2015 da sua - Chuan_3. Biểu Chi QT 2016" xfId="2099" xr:uid="{00000000-0005-0000-0000-000045080000}"/>
    <cellStyle name="T_Thiet bi" xfId="2100" xr:uid="{00000000-0005-0000-0000-000047080000}"/>
    <cellStyle name="T_Thiet bi_131114- Bieu giao du toan CTMTQG 2014 giao" xfId="2101" xr:uid="{00000000-0005-0000-0000-000048080000}"/>
    <cellStyle name="T_Thu chi" xfId="2102" xr:uid="{00000000-0005-0000-0000-000049080000}"/>
    <cellStyle name="T_tinh truy linh ko ct theo 04" xfId="2103" xr:uid="{00000000-0005-0000-0000-000017080000}"/>
    <cellStyle name="T_tinh truy linh ko ct theo 04_2. Du toan dieu chinh 2016 xã phường 09-11" xfId="2104" xr:uid="{00000000-0005-0000-0000-000018080000}"/>
    <cellStyle name="T_tinh truy linh ko ct theo 04_2. Du toan dieu chinh 2016 xã phường 09-11_3. Biểu Chi QT 2016" xfId="2105" xr:uid="{00000000-0005-0000-0000-000019080000}"/>
    <cellStyle name="T_tinh truy linh ko ct theo 04_3. Biểu Chi QT 2016" xfId="2106" xr:uid="{00000000-0005-0000-0000-00001A080000}"/>
    <cellStyle name="T_tinh truy linh ko ct theo 04_3. Cac bieu QT chi NSNN 2015 tu B05-09" xfId="2107" xr:uid="{00000000-0005-0000-0000-00001B080000}"/>
    <cellStyle name="T_tinh truy linh ko ct theo 04_biểu chi xp x (1)" xfId="2108" xr:uid="{00000000-0005-0000-0000-00001E080000}"/>
    <cellStyle name="T_tinh truy linh ko ct theo 04_Bieu dieu chinh NS nam 2015 da sua - Chuan" xfId="2109" xr:uid="{00000000-0005-0000-0000-00001C080000}"/>
    <cellStyle name="T_tinh truy linh ko ct theo 04_Bieu dieu chinh NS nam 2015 da sua - Chuan_3. Biểu Chi QT 2016" xfId="2110" xr:uid="{00000000-0005-0000-0000-00001D080000}"/>
    <cellStyle name="T_TK_HT" xfId="2111" xr:uid="{00000000-0005-0000-0000-00001F080000}"/>
    <cellStyle name="T_tong hop du toan 2015" xfId="2112" xr:uid="{00000000-0005-0000-0000-000020080000}"/>
    <cellStyle name="T_tong hop du toan 2015_2. Du toan dieu chinh 2016 xã phường 09-11" xfId="2113" xr:uid="{00000000-0005-0000-0000-000021080000}"/>
    <cellStyle name="T_tong hop du toan 2015_2. Du toan dieu chinh 2016 xã phường 09-11_3. Biểu Chi QT 2016" xfId="2114" xr:uid="{00000000-0005-0000-0000-000022080000}"/>
    <cellStyle name="T_tong hop du toan 2015_3. Biểu Chi QT 2016" xfId="2115" xr:uid="{00000000-0005-0000-0000-000023080000}"/>
    <cellStyle name="T_tong hop du toan 2015_3. Cac bieu QT chi NSNN 2015 tu B05-09" xfId="2116" xr:uid="{00000000-0005-0000-0000-000024080000}"/>
    <cellStyle name="T_tong hop du toan 2015_biểu chi xp x (1)" xfId="2117" xr:uid="{00000000-0005-0000-0000-000027080000}"/>
    <cellStyle name="T_tong hop du toan 2015_Bieu dieu chinh NS nam 2015 da sua - Chuan" xfId="2118" xr:uid="{00000000-0005-0000-0000-000025080000}"/>
    <cellStyle name="T_tong hop du toan 2015_Bieu dieu chinh NS nam 2015 da sua - Chuan_3. Biểu Chi QT 2016" xfId="2119" xr:uid="{00000000-0005-0000-0000-000026080000}"/>
    <cellStyle name="T_Tongdutoans" xfId="2120" xr:uid="{00000000-0005-0000-0000-000028080000}"/>
    <cellStyle name="T_Von ngoai nuoc" xfId="2121" xr:uid="{00000000-0005-0000-0000-00004A080000}"/>
    <cellStyle name="T_ÿÿÿÿÿ" xfId="2122" xr:uid="{00000000-0005-0000-0000-00004B080000}"/>
    <cellStyle name="T_ÿÿÿÿÿ_131114- Bieu giao du toan CTMTQG 2014 giao" xfId="2123" xr:uid="{00000000-0005-0000-0000-00004C080000}"/>
    <cellStyle name="T_" xfId="2124" xr:uid="{00000000-0005-0000-0000-00004D080000}"/>
    <cellStyle name="T__1" xfId="2125" xr:uid="{00000000-0005-0000-0000-00004E080000}"/>
    <cellStyle name="T__BAO CAO 13 THANG2010 (THEO NGUON)1502" xfId="2126" xr:uid="{00000000-0005-0000-0000-00004F080000}"/>
    <cellStyle name="T__TABMIS chuyen nguon" xfId="2127" xr:uid="{00000000-0005-0000-0000-000050080000}"/>
    <cellStyle name="T__TAM UNG 2010 (31.12.2010) Q IN BC" xfId="2128" xr:uid="{00000000-0005-0000-0000-000051080000}"/>
    <cellStyle name="T__" xfId="2129" xr:uid="{00000000-0005-0000-0000-000052080000}"/>
    <cellStyle name="t1" xfId="2130" xr:uid="{00000000-0005-0000-0000-000053080000}"/>
    <cellStyle name="tde" xfId="2131" xr:uid="{00000000-0005-0000-0000-000054080000}"/>
    <cellStyle name="Text Indent A" xfId="2132" xr:uid="{00000000-0005-0000-0000-000055080000}"/>
    <cellStyle name="Text Indent B" xfId="2133" xr:uid="{00000000-0005-0000-0000-000056080000}"/>
    <cellStyle name="Text Indent C" xfId="2134" xr:uid="{00000000-0005-0000-0000-000057080000}"/>
    <cellStyle name="th" xfId="2135" xr:uid="{00000000-0005-0000-0000-000076080000}"/>
    <cellStyle name="th 2" xfId="2136" xr:uid="{00000000-0005-0000-0000-000077080000}"/>
    <cellStyle name="th 2 2" xfId="2137" xr:uid="{00000000-0005-0000-0000-000078080000}"/>
    <cellStyle name="th 2_KHKT_tong_quat_BK_(Pb_20.3)(1) (1)" xfId="2138" xr:uid="{00000000-0005-0000-0000-000079080000}"/>
    <cellStyle name="th 3" xfId="2139" xr:uid="{00000000-0005-0000-0000-00007A080000}"/>
    <cellStyle name="th 4" xfId="2140" xr:uid="{00000000-0005-0000-0000-00007B080000}"/>
    <cellStyle name="th 5" xfId="2141" xr:uid="{00000000-0005-0000-0000-00007C080000}"/>
    <cellStyle name="th 6" xfId="2142" xr:uid="{00000000-0005-0000-0000-00007D080000}"/>
    <cellStyle name="th 7" xfId="2143" xr:uid="{00000000-0005-0000-0000-00007E080000}"/>
    <cellStyle name="th 8" xfId="2144" xr:uid="{00000000-0005-0000-0000-00007F080000}"/>
    <cellStyle name="th_KHKT_tong_quat_BK_(Pb_20.3)(1) (1)" xfId="2145" xr:uid="{00000000-0005-0000-0000-000080080000}"/>
    <cellStyle name="than" xfId="2146" xr:uid="{00000000-0005-0000-0000-000081080000}"/>
    <cellStyle name="þ_x001d_ð¤_x000c_¯þ_x0014__x000d_¨þU_x0001_À_x0004_ _x0015__x000f__x0001__x0001_" xfId="2147" xr:uid="{00000000-0005-0000-0000-000082080000}"/>
    <cellStyle name="þ_x001d_ð·_x000c_æþ'_x000d_ßþU_x0001_Ø_x0005_ü_x0014__x0007__x0001__x0001_" xfId="2148" xr:uid="{00000000-0005-0000-0000-000083080000}"/>
    <cellStyle name="þ_x001d_ð·_x000c_æþ'_x000d_ßþU_x0001_Ø_x0005_ü_x0014__x0007__x0001__x0001_ 2" xfId="2149" xr:uid="{00000000-0005-0000-0000-000084080000}"/>
    <cellStyle name="þ_x001d_ð·_x000c_æþ'_x000d_ßþU_x0001_Ø_x0005_ü_x0014__x0007__x0001__x0001__KHKT_tong_quat_BK_(Pb_20.3)(1) (1)" xfId="2150" xr:uid="{00000000-0005-0000-0000-000085080000}"/>
    <cellStyle name="þ_x001d_ðÇ%Uý—&amp;Hý9_x0008_Ÿ s_x000a__x0007__x0001__x0001_" xfId="2151" xr:uid="{00000000-0005-0000-0000-000086080000}"/>
    <cellStyle name="þ_x001d_ðÇ%Uý—&amp;Hý9_x0008_Ÿ_x0009_s_x000a__x0007__x0001__x0001_" xfId="2152" xr:uid="{00000000-0005-0000-0000-000087080000}"/>
    <cellStyle name="þ_x001d_ðK_x000c_Fý_x001b__x000d_9ýU_x0001_Ð_x0008_¦)_x0007__x0001__x0001_" xfId="2153" xr:uid="{00000000-0005-0000-0000-000088080000}"/>
    <cellStyle name="thuong-10" xfId="2154" xr:uid="{00000000-0005-0000-0000-000089080000}"/>
    <cellStyle name="thuong-11" xfId="2155" xr:uid="{00000000-0005-0000-0000-00008A080000}"/>
    <cellStyle name="Thuyet minh" xfId="2156" xr:uid="{00000000-0005-0000-0000-00008B080000}"/>
    <cellStyle name="Tiªu ®Ì" xfId="2157" xr:uid="{00000000-0005-0000-0000-000058080000}"/>
    <cellStyle name="Tien1" xfId="2158" xr:uid="{00000000-0005-0000-0000-000059080000}"/>
    <cellStyle name="Tiêu đề 2" xfId="2159" xr:uid="{00000000-0005-0000-0000-00005B080000}"/>
    <cellStyle name="Tieu_de_2" xfId="2160" xr:uid="{00000000-0005-0000-0000-00005A080000}"/>
    <cellStyle name="Times New Roman" xfId="2161" xr:uid="{00000000-0005-0000-0000-00005C080000}"/>
    <cellStyle name="Tính toán 2" xfId="2162" xr:uid="{00000000-0005-0000-0000-00005D080000}"/>
    <cellStyle name="TiÓu môc" xfId="2163" xr:uid="{00000000-0005-0000-0000-00005E080000}"/>
    <cellStyle name="tit1" xfId="2164" xr:uid="{00000000-0005-0000-0000-00005F080000}"/>
    <cellStyle name="tit2" xfId="2165" xr:uid="{00000000-0005-0000-0000-000060080000}"/>
    <cellStyle name="tit3" xfId="2166" xr:uid="{00000000-0005-0000-0000-000061080000}"/>
    <cellStyle name="tit4" xfId="2167" xr:uid="{00000000-0005-0000-0000-000062080000}"/>
    <cellStyle name="Title 2" xfId="2168" xr:uid="{00000000-0005-0000-0000-000063080000}"/>
    <cellStyle name="Title 3" xfId="2169" xr:uid="{00000000-0005-0000-0000-000064080000}"/>
    <cellStyle name="Title 3 2" xfId="2170" xr:uid="{00000000-0005-0000-0000-000065080000}"/>
    <cellStyle name="Title 4" xfId="2171" xr:uid="{00000000-0005-0000-0000-000066080000}"/>
    <cellStyle name="Tổng 2" xfId="2172" xr:uid="{00000000-0005-0000-0000-000072080000}"/>
    <cellStyle name="Tong so" xfId="2173" xr:uid="{00000000-0005-0000-0000-000067080000}"/>
    <cellStyle name="tong so 1" xfId="2174" xr:uid="{00000000-0005-0000-0000-000068080000}"/>
    <cellStyle name="Tong so_3. Biểu Chi QT 2016" xfId="2175" xr:uid="{00000000-0005-0000-0000-000069080000}"/>
    <cellStyle name="Tongcong" xfId="2176" xr:uid="{00000000-0005-0000-0000-00006A080000}"/>
    <cellStyle name="Total 2" xfId="2177" xr:uid="{00000000-0005-0000-0000-00006B080000}"/>
    <cellStyle name="Total 2 2" xfId="2178" xr:uid="{00000000-0005-0000-0000-00006C080000}"/>
    <cellStyle name="Total 2 3" xfId="2179" xr:uid="{00000000-0005-0000-0000-00006D080000}"/>
    <cellStyle name="Total 3" xfId="2180" xr:uid="{00000000-0005-0000-0000-00006E080000}"/>
    <cellStyle name="Total 3 2" xfId="2181" xr:uid="{00000000-0005-0000-0000-00006F080000}"/>
    <cellStyle name="Total 4" xfId="2182" xr:uid="{00000000-0005-0000-0000-000070080000}"/>
    <cellStyle name="Total 5" xfId="2183" xr:uid="{00000000-0005-0000-0000-000071080000}"/>
    <cellStyle name="trang" xfId="2184" xr:uid="{00000000-0005-0000-0000-00008C080000}"/>
    <cellStyle name="tt1" xfId="2185" xr:uid="{00000000-0005-0000-0000-000073080000}"/>
    <cellStyle name="Tusental (0)_pldt" xfId="2186" xr:uid="{00000000-0005-0000-0000-000074080000}"/>
    <cellStyle name="Tusental_pldt" xfId="2187" xr:uid="{00000000-0005-0000-0000-000075080000}"/>
    <cellStyle name="ux_3_¼­¿ï-¾È»ê" xfId="2188" xr:uid="{00000000-0005-0000-0000-00008D080000}"/>
    <cellStyle name="Valuta (0)_pldt" xfId="2189" xr:uid="{00000000-0005-0000-0000-00008E080000}"/>
    <cellStyle name="Valuta_pldt" xfId="2190" xr:uid="{00000000-0005-0000-0000-00008F080000}"/>
    <cellStyle name="Văn bản Cảnh báo 2" xfId="2191" xr:uid="{00000000-0005-0000-0000-000091080000}"/>
    <cellStyle name="VANG1" xfId="2192" xr:uid="{00000000-0005-0000-0000-000090080000}"/>
    <cellStyle name="viet" xfId="2193" xr:uid="{00000000-0005-0000-0000-000092080000}"/>
    <cellStyle name="viet 2" xfId="2194" xr:uid="{00000000-0005-0000-0000-000093080000}"/>
    <cellStyle name="viet 2 2" xfId="2195" xr:uid="{00000000-0005-0000-0000-000094080000}"/>
    <cellStyle name="viet 2_KHKT_tong_quat_BK_(Pb_20.3)(1) (1)" xfId="2196" xr:uid="{00000000-0005-0000-0000-000095080000}"/>
    <cellStyle name="viet 3" xfId="2197" xr:uid="{00000000-0005-0000-0000-000096080000}"/>
    <cellStyle name="viet 4" xfId="2198" xr:uid="{00000000-0005-0000-0000-000097080000}"/>
    <cellStyle name="viet 5" xfId="2199" xr:uid="{00000000-0005-0000-0000-000098080000}"/>
    <cellStyle name="viet 6" xfId="2200" xr:uid="{00000000-0005-0000-0000-000099080000}"/>
    <cellStyle name="viet 7" xfId="2201" xr:uid="{00000000-0005-0000-0000-00009A080000}"/>
    <cellStyle name="viet 8" xfId="2202" xr:uid="{00000000-0005-0000-0000-00009B080000}"/>
    <cellStyle name="viet_Quyết toán vốn NSTP 2017 - Gửi chị Huyền" xfId="2203" xr:uid="{00000000-0005-0000-0000-00009C080000}"/>
    <cellStyle name="viet2" xfId="2204" xr:uid="{00000000-0005-0000-0000-00009D080000}"/>
    <cellStyle name="viet2 2" xfId="2205" xr:uid="{00000000-0005-0000-0000-00009E080000}"/>
    <cellStyle name="viet2 2 2" xfId="2206" xr:uid="{00000000-0005-0000-0000-00009F080000}"/>
    <cellStyle name="viet2 2_KHKT_tong_quat_BK_(Pb_20.3)(1) (1)" xfId="2207" xr:uid="{00000000-0005-0000-0000-0000A0080000}"/>
    <cellStyle name="viet2 3" xfId="2208" xr:uid="{00000000-0005-0000-0000-0000A1080000}"/>
    <cellStyle name="viet2 4" xfId="2209" xr:uid="{00000000-0005-0000-0000-0000A2080000}"/>
    <cellStyle name="viet2 5" xfId="2210" xr:uid="{00000000-0005-0000-0000-0000A3080000}"/>
    <cellStyle name="viet2 6" xfId="2211" xr:uid="{00000000-0005-0000-0000-0000A4080000}"/>
    <cellStyle name="viet2 7" xfId="2212" xr:uid="{00000000-0005-0000-0000-0000A5080000}"/>
    <cellStyle name="viet2 8" xfId="2213" xr:uid="{00000000-0005-0000-0000-0000A6080000}"/>
    <cellStyle name="viet2_KHKT_tong_quat_BK_(Pb_20.3)(1) (1)" xfId="2214" xr:uid="{00000000-0005-0000-0000-0000A7080000}"/>
    <cellStyle name="VN new romanNormal" xfId="2215" xr:uid="{00000000-0005-0000-0000-0000A8080000}"/>
    <cellStyle name="VN new romanNormal 2" xfId="2216" xr:uid="{00000000-0005-0000-0000-0000A9080000}"/>
    <cellStyle name="VN new romanNormal 3" xfId="2217" xr:uid="{00000000-0005-0000-0000-0000AA080000}"/>
    <cellStyle name="Vn Time 13" xfId="2218" xr:uid="{00000000-0005-0000-0000-0000AB080000}"/>
    <cellStyle name="Vn Time 14" xfId="2219" xr:uid="{00000000-0005-0000-0000-0000AC080000}"/>
    <cellStyle name="VN time new roman" xfId="2220" xr:uid="{00000000-0005-0000-0000-0000AD080000}"/>
    <cellStyle name="VN time new roman 2" xfId="2221" xr:uid="{00000000-0005-0000-0000-0000AE080000}"/>
    <cellStyle name="VN time new roman 3" xfId="2222" xr:uid="{00000000-0005-0000-0000-0000AF080000}"/>
    <cellStyle name="vnbo" xfId="2223" xr:uid="{00000000-0005-0000-0000-0000B0080000}"/>
    <cellStyle name="vnhead1" xfId="2224" xr:uid="{00000000-0005-0000-0000-0000B4080000}"/>
    <cellStyle name="vnhead2" xfId="2225" xr:uid="{00000000-0005-0000-0000-0000B5080000}"/>
    <cellStyle name="vnhead3" xfId="2226" xr:uid="{00000000-0005-0000-0000-0000B6080000}"/>
    <cellStyle name="vnhead4" xfId="2227" xr:uid="{00000000-0005-0000-0000-0000B7080000}"/>
    <cellStyle name="VNlucida sans" xfId="2228" xr:uid="{00000000-0005-0000-0000-0000B1080000}"/>
    <cellStyle name="vntxt1" xfId="2229" xr:uid="{00000000-0005-0000-0000-0000B2080000}"/>
    <cellStyle name="vntxt2" xfId="2230" xr:uid="{00000000-0005-0000-0000-0000B3080000}"/>
    <cellStyle name="W?hrung [0]_35ERI8T2gbIEMixb4v26icuOo" xfId="2231" xr:uid="{00000000-0005-0000-0000-0000B8080000}"/>
    <cellStyle name="W?hrung_35ERI8T2gbIEMixb4v26icuOo" xfId="2232" xr:uid="{00000000-0005-0000-0000-0000B9080000}"/>
    <cellStyle name="Währung [0]_ALLE_ITEMS_280800_EV_NL" xfId="2233" xr:uid="{00000000-0005-0000-0000-0000BA080000}"/>
    <cellStyle name="Währung_AKE_100N" xfId="2234" xr:uid="{00000000-0005-0000-0000-0000BB080000}"/>
    <cellStyle name="Walutowy [0]_Invoices2001Slovakia" xfId="2235" xr:uid="{00000000-0005-0000-0000-0000BC080000}"/>
    <cellStyle name="Walutowy_Invoices2001Slovakia" xfId="2236" xr:uid="{00000000-0005-0000-0000-0000BD080000}"/>
    <cellStyle name="Warning Text 2" xfId="2237" xr:uid="{00000000-0005-0000-0000-0000BE080000}"/>
    <cellStyle name="Warning Text 3" xfId="2238" xr:uid="{00000000-0005-0000-0000-0000BF080000}"/>
    <cellStyle name="Warning Text 4" xfId="2239" xr:uid="{00000000-0005-0000-0000-0000C0080000}"/>
    <cellStyle name="wrap" xfId="2240" xr:uid="{00000000-0005-0000-0000-0000C1080000}"/>
    <cellStyle name="Wไhrung [0]_35ERI8T2gbIEMixb4v26icuOo" xfId="2241" xr:uid="{00000000-0005-0000-0000-0000C2080000}"/>
    <cellStyle name="Wไhrung_35ERI8T2gbIEMixb4v26icuOo" xfId="2242" xr:uid="{00000000-0005-0000-0000-0000C3080000}"/>
    <cellStyle name="xan1" xfId="2243" xr:uid="{00000000-0005-0000-0000-0000C4080000}"/>
    <cellStyle name="xuan" xfId="2244" xr:uid="{00000000-0005-0000-0000-0000C5080000}"/>
    <cellStyle name="y" xfId="2245" xr:uid="{00000000-0005-0000-0000-0000C6080000}"/>
    <cellStyle name="Ý kh¸c_B¶ng 1 (2)" xfId="2246" xr:uid="{00000000-0005-0000-0000-0000C7080000}"/>
    <cellStyle name="เครื่องหมายสกุลเงิน [0]_FTC_OFFER" xfId="2247" xr:uid="{00000000-0005-0000-0000-0000C8080000}"/>
    <cellStyle name="เครื่องหมายสกุลเงิน_FTC_OFFER" xfId="2248" xr:uid="{00000000-0005-0000-0000-0000C9080000}"/>
    <cellStyle name="ปกติ_FTC_OFFER" xfId="2249" xr:uid="{00000000-0005-0000-0000-0000CA080000}"/>
    <cellStyle name=" [0.00]_ Att. 1- Cover" xfId="2250" xr:uid="{00000000-0005-0000-0000-0000CB080000}"/>
    <cellStyle name="_ Att. 1- Cover" xfId="2251" xr:uid="{00000000-0005-0000-0000-0000CC080000}"/>
    <cellStyle name="?_ Att. 1- Cover" xfId="2252" xr:uid="{00000000-0005-0000-0000-0000CD080000}"/>
    <cellStyle name="똿뗦먛귟 [0.00]_PRODUCT DETAIL Q1" xfId="2253" xr:uid="{00000000-0005-0000-0000-0000CE080000}"/>
    <cellStyle name="똿뗦먛귟_PRODUCT DETAIL Q1" xfId="2254" xr:uid="{00000000-0005-0000-0000-0000CF080000}"/>
    <cellStyle name="믅됞 [0.00]_PRODUCT DETAIL Q1" xfId="2255" xr:uid="{00000000-0005-0000-0000-0000D0080000}"/>
    <cellStyle name="믅됞_PRODUCT DETAIL Q1" xfId="2256" xr:uid="{00000000-0005-0000-0000-0000D1080000}"/>
    <cellStyle name="백분율_††††† " xfId="2257" xr:uid="{00000000-0005-0000-0000-0000D2080000}"/>
    <cellStyle name="뷭?_BOOKSHIP" xfId="2258" xr:uid="{00000000-0005-0000-0000-0000D3080000}"/>
    <cellStyle name="안건회계법인" xfId="2259" xr:uid="{00000000-0005-0000-0000-0000D4080000}"/>
    <cellStyle name="콤맀_Sheet1_총괄표 (수출입) (2)" xfId="2260" xr:uid="{00000000-0005-0000-0000-0000D5080000}"/>
    <cellStyle name="콤마 [ - 유형1" xfId="2261" xr:uid="{00000000-0005-0000-0000-0000D6080000}"/>
    <cellStyle name="콤마 [ - 유형2" xfId="2262" xr:uid="{00000000-0005-0000-0000-0000D7080000}"/>
    <cellStyle name="콤마 [ - 유형3" xfId="2263" xr:uid="{00000000-0005-0000-0000-0000D8080000}"/>
    <cellStyle name="콤마 [ - 유형4" xfId="2264" xr:uid="{00000000-0005-0000-0000-0000D9080000}"/>
    <cellStyle name="콤마 [ - 유형5" xfId="2265" xr:uid="{00000000-0005-0000-0000-0000DA080000}"/>
    <cellStyle name="콤마 [ - 유형6" xfId="2266" xr:uid="{00000000-0005-0000-0000-0000DB080000}"/>
    <cellStyle name="콤마 [ - 유형7" xfId="2267" xr:uid="{00000000-0005-0000-0000-0000DC080000}"/>
    <cellStyle name="콤마 [ - 유형8" xfId="2268" xr:uid="{00000000-0005-0000-0000-0000DD080000}"/>
    <cellStyle name="콤마 [0]_ 비목별 월별기술 " xfId="2269" xr:uid="{00000000-0005-0000-0000-0000DE080000}"/>
    <cellStyle name="콤마_ 비목별 월별기술 " xfId="2270" xr:uid="{00000000-0005-0000-0000-0000DF080000}"/>
    <cellStyle name="통화 [0]_††††† " xfId="2271" xr:uid="{00000000-0005-0000-0000-0000E0080000}"/>
    <cellStyle name="통화_††††† " xfId="2272" xr:uid="{00000000-0005-0000-0000-0000E1080000}"/>
    <cellStyle name="표섀_변경(최종)" xfId="2273" xr:uid="{00000000-0005-0000-0000-0000E2080000}"/>
    <cellStyle name="표준_ 97년 경영분석(안)" xfId="2274" xr:uid="{00000000-0005-0000-0000-0000E3080000}"/>
    <cellStyle name="표줠_Sheet1_1_총괄표 (수출입) (2)" xfId="2275" xr:uid="{00000000-0005-0000-0000-0000E4080000}"/>
    <cellStyle name="一般_00Q3902REV.1" xfId="2276" xr:uid="{00000000-0005-0000-0000-0000E5080000}"/>
    <cellStyle name="千分位[0]_00Q3902REV.1" xfId="2277" xr:uid="{00000000-0005-0000-0000-0000E6080000}"/>
    <cellStyle name="千分位_00Q3902REV.1" xfId="2278" xr:uid="{00000000-0005-0000-0000-0000E7080000}"/>
    <cellStyle name="常规_GL ACM Master OCT08" xfId="2279" xr:uid="{00000000-0005-0000-0000-0000E8080000}"/>
    <cellStyle name="桁区切り [0.00]_BE-BQ" xfId="2280" xr:uid="{00000000-0005-0000-0000-0000E9080000}"/>
    <cellStyle name="桁区切り_BE-BQ" xfId="2281" xr:uid="{00000000-0005-0000-0000-0000EA080000}"/>
    <cellStyle name="標準_(A1)BOQ " xfId="2282" xr:uid="{00000000-0005-0000-0000-0000EB080000}"/>
    <cellStyle name="貨幣 [0]_00Q3902REV.1" xfId="2283" xr:uid="{00000000-0005-0000-0000-0000EC080000}"/>
    <cellStyle name="貨幣[0]_BRE" xfId="2284" xr:uid="{00000000-0005-0000-0000-0000ED080000}"/>
    <cellStyle name="貨幣_00Q3902REV.1" xfId="2285" xr:uid="{00000000-0005-0000-0000-0000EE080000}"/>
    <cellStyle name="通貨 [0.00]_BE-BQ" xfId="2286" xr:uid="{00000000-0005-0000-0000-0000EF080000}"/>
    <cellStyle name="通貨_BE-BQ" xfId="2287" xr:uid="{00000000-0005-0000-0000-0000F008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HP\Documents\Zalo%20Received%20Files\QUY&#7870;T%20TO&#193;N%202022-B&#7842;N%20S&#7916;A%20SAU%20DUY&#7878;T%20QUY&#7870;T%20TO&#193;N%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0.%20QUY&#7870;T%20TO&#193;N%20NS%202025/T2.2026.%20CV%20b&#225;o%20c&#225;o%20ho&#224;n%20tr&#7843;%20(2).xlsx" TargetMode="External"/><Relationship Id="rId1" Type="http://schemas.openxmlformats.org/officeDocument/2006/relationships/externalLinkPath" Target="/0.%20N&#258;M%202026/0.%20QUY&#7870;T%20TO&#193;N%20NS%202025/T2.2026.%20CV%20b&#225;o%20c&#225;o%20ho&#224;n%20tr&#7843;%20(2).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0.%20QUY&#7870;T%20TO&#193;N%20NS%202025/T2.2026.%20Bi&#7875;u%20chi%20ti&#7871;t%20chi%20x&#227;%20sau%20khi%20ki&#7875;m%20tra,%20&#273;&#7889;i%20chi&#7871;u%20v&#7899;i%20c&#225;c%20&#273;&#417;n%20v&#7883;.xlsx" TargetMode="External"/><Relationship Id="rId2" Type="http://schemas.openxmlformats.org/officeDocument/2006/relationships/externalLinkPath" Target="file:///D:\0.%20N&#258;M%202026\0.%20QUY&#7870;T%20TO&#193;N%20NS%202025\T2.2026.%20Bi&#7875;u%20chi%20ti&#7871;t%20chi%20x&#227;%20sau%20khi%20ki&#7875;m%20tra,%20&#273;&#7889;i%20chi&#7871;u%20v&#7899;i%20c&#225;c%20&#273;&#417;n%20v&#7883;.xlsx" TargetMode="External"/><Relationship Id="rId1" Type="http://schemas.openxmlformats.org/officeDocument/2006/relationships/externalLinkPath" Target="/0.%20N&#258;M%202026/0.%20QUY&#7870;T%20TO&#193;N%20NS%202025/T2.2026.%20Bi&#7875;u%20chi%20ti&#7871;t%20chi%20x&#227;%20sau%20khi%20ki&#7875;m%20tra,%20&#273;&#7889;i%20chi&#7871;u%20v&#7899;i%20c&#225;c%20&#273;&#417;n%20v&#7883;.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0.%20QUY&#7870;T%20TO&#193;N%20NS%202025/1.%20QUY&#7870;T%20TO&#193;N%20NS%20X&#195;%20N&#258;M%202025%20THEO%20VB%20C&#7910;A%20STC.xls" TargetMode="External"/><Relationship Id="rId2" Type="http://schemas.openxmlformats.org/officeDocument/2006/relationships/externalLinkPath" Target="file:///D:\0.%20N&#258;M%202026\0.%20QUY&#7870;T%20TO&#193;N%20NS%202025\1.%20QUY&#7870;T%20TO&#193;N%20NS%20X&#195;%20N&#258;M%202025%20THEO%20VB%20C&#7910;A%20STC.xls" TargetMode="External"/><Relationship Id="rId1" Type="http://schemas.openxmlformats.org/officeDocument/2006/relationships/externalLinkPath" Target="/0.%20N&#258;M%202026/0.%20QUY&#7870;T%20TO&#193;N%20NS%202025/1.%20QUY&#7870;T%20TO&#193;N%20NS%20X&#195;%20N&#258;M%202025%20THEO%20VB%20C&#7910;A%20ST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Users\HP\Documents\Zalo%20Received%20Files\&#272;&#7846;U%20T&#4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 tong hop"/>
      <sheetName val="PHỤ LỤC"/>
      <sheetName val="5.1QTCĐNSĐP"/>
      <sheetName val="5.2QTCĐthu chi 2 câp "/>
      <sheetName val="5.3"/>
      <sheetName val="5.4QTNSĐP"/>
      <sheetName val="5.5QT CHI NS HUYỆN"/>
      <sheetName val="5.6"/>
      <sheetName val="5.7"/>
      <sheetName val="5.8"/>
      <sheetName val="5.9"/>
      <sheetName val="5.10"/>
      <sheetName val="5.11"/>
      <sheetName val="5.12"/>
      <sheetName val="5.13QT thu NS xã"/>
      <sheetName val="5.14"/>
      <sheetName val="5.16"/>
      <sheetName val="5.17"/>
      <sheetName val="5.20. CĐQTNSĐP"/>
      <sheetName val="5.21QTThuNSNN"/>
      <sheetName val="5.22QT chi NSĐP"/>
      <sheetName val="5.23 QT THU theo ML"/>
      <sheetName val="5.24 QT chi ctiết"/>
      <sheetName val="5.25 CTMT"/>
      <sheetName val="5.26"/>
      <sheetName val="5.27"/>
      <sheetName val="5.28"/>
      <sheetName val="5.29"/>
      <sheetName val="5.30. CN"/>
      <sheetName val="5.31KD20"/>
      <sheetName val="B01STC"/>
      <sheetName val="5.15"/>
      <sheetName val="Sheet5"/>
      <sheetName val="Nguồn CCT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L1"/>
      <sheetName val="PL2"/>
      <sheetName val="PL3"/>
    </sheetNames>
    <sheetDataSet>
      <sheetData sheetId="0"/>
      <sheetData sheetId="1"/>
      <sheetData sheetId="2">
        <row r="16">
          <cell r="F16">
            <v>67130000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1.Thu xã"/>
      <sheetName val="2.Biểu GN VĐT"/>
      <sheetName val="3.Chi xã"/>
      <sheetName val="4. DPNS"/>
      <sheetName val="5. Điều chỉnh DT đầu năm"/>
      <sheetName val="RS NỘP TRẢ"/>
    </sheetNames>
    <sheetDataSet>
      <sheetData sheetId="0"/>
      <sheetData sheetId="1"/>
      <sheetData sheetId="2"/>
      <sheetData sheetId="3"/>
      <sheetData sheetId="4"/>
      <sheetData sheetId="5">
        <row r="152">
          <cell r="H152">
            <v>23.8203</v>
          </cell>
        </row>
        <row r="153">
          <cell r="H153">
            <v>28.95</v>
          </cell>
        </row>
        <row r="154">
          <cell r="H154">
            <v>46.817</v>
          </cell>
        </row>
        <row r="155">
          <cell r="H155">
            <v>32.479999999999997</v>
          </cell>
        </row>
        <row r="159">
          <cell r="D159">
            <v>16.786224000000001</v>
          </cell>
          <cell r="H159">
            <v>28.961224000000001</v>
          </cell>
        </row>
        <row r="167">
          <cell r="H167">
            <v>26.687999999999999</v>
          </cell>
        </row>
        <row r="168">
          <cell r="H168">
            <v>41.25</v>
          </cell>
        </row>
        <row r="169">
          <cell r="H169">
            <v>133.84800000000001</v>
          </cell>
        </row>
        <row r="173">
          <cell r="D173">
            <v>31.261793000000001</v>
          </cell>
          <cell r="H173">
            <v>40.675682999999999</v>
          </cell>
        </row>
        <row r="181">
          <cell r="H181">
            <v>28.734000000000002</v>
          </cell>
        </row>
        <row r="182">
          <cell r="H182">
            <v>34.65</v>
          </cell>
        </row>
        <row r="183">
          <cell r="H183">
            <v>46.8</v>
          </cell>
        </row>
        <row r="185">
          <cell r="H185">
            <v>107.08799999999999</v>
          </cell>
        </row>
        <row r="187">
          <cell r="D187">
            <v>66.016696999999994</v>
          </cell>
          <cell r="H187">
            <v>100.08669699999999</v>
          </cell>
        </row>
        <row r="195">
          <cell r="H195">
            <v>38.866500000000002</v>
          </cell>
        </row>
        <row r="196">
          <cell r="H196">
            <v>186.45</v>
          </cell>
        </row>
        <row r="197">
          <cell r="H197">
            <v>165.64</v>
          </cell>
        </row>
        <row r="198">
          <cell r="H198">
            <v>263.01</v>
          </cell>
        </row>
        <row r="200">
          <cell r="H200">
            <v>9.86</v>
          </cell>
        </row>
        <row r="202">
          <cell r="D202">
            <v>13.04424</v>
          </cell>
          <cell r="H202">
            <v>13.04424</v>
          </cell>
        </row>
        <row r="210">
          <cell r="H210">
            <v>45.311999999999998</v>
          </cell>
        </row>
        <row r="211">
          <cell r="H211">
            <v>309.14999999999998</v>
          </cell>
        </row>
        <row r="212">
          <cell r="H212">
            <v>1308.077918</v>
          </cell>
        </row>
        <row r="214">
          <cell r="H214">
            <v>91.111999999999995</v>
          </cell>
        </row>
        <row r="215">
          <cell r="C215">
            <v>19.7898</v>
          </cell>
        </row>
        <row r="216">
          <cell r="D216">
            <v>93.941357999999994</v>
          </cell>
          <cell r="H216">
            <v>144.28635800000001</v>
          </cell>
        </row>
        <row r="224">
          <cell r="H224">
            <v>51.201000000000001</v>
          </cell>
        </row>
        <row r="225">
          <cell r="H225">
            <v>254.4</v>
          </cell>
        </row>
        <row r="226">
          <cell r="H226">
            <v>1186.1737390000001</v>
          </cell>
        </row>
        <row r="228">
          <cell r="H228">
            <v>79.38</v>
          </cell>
        </row>
        <row r="229">
          <cell r="C229">
            <v>19.683</v>
          </cell>
        </row>
        <row r="230">
          <cell r="D230">
            <v>54.292963999999998</v>
          </cell>
          <cell r="H230">
            <v>103.41319200000001</v>
          </cell>
        </row>
        <row r="264">
          <cell r="H264">
            <v>212.99879999999999</v>
          </cell>
        </row>
        <row r="266">
          <cell r="H266">
            <v>60.332999999999998</v>
          </cell>
        </row>
        <row r="310">
          <cell r="C310">
            <v>38.808199999999999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anh muc bieu mau "/>
      <sheetName val="MS 01.Kết dư"/>
      <sheetName val="MS 02"/>
      <sheetName val="MS 03"/>
      <sheetName val="MS 04"/>
      <sheetName val="MS 05"/>
      <sheetName val="MS 06 - Không có"/>
      <sheetName val="MS 07- Không có"/>
      <sheetName val="MS 08_khối tỉnh"/>
      <sheetName val="60"/>
      <sheetName val="61"/>
      <sheetName val="62"/>
      <sheetName val="63"/>
      <sheetName val="63 HN các cấp"/>
      <sheetName val="63 HN từng cấp"/>
      <sheetName val="64"/>
      <sheetName val="64. HN, TN, M, TM"/>
      <sheetName val="65"/>
      <sheetName val="65. HN, TN, M, TM"/>
      <sheetName val="66 Không có"/>
      <sheetName val="67"/>
      <sheetName val="68"/>
      <sheetName val="69 - Không có"/>
      <sheetName val="70"/>
    </sheetNames>
    <sheetDataSet>
      <sheetData sheetId="0"/>
      <sheetData sheetId="1"/>
      <sheetData sheetId="2"/>
      <sheetData sheetId="3"/>
      <sheetData sheetId="4"/>
      <sheetData sheetId="5"/>
      <sheetData sheetId="6"/>
      <sheetData sheetId="7"/>
      <sheetData sheetId="8"/>
      <sheetData sheetId="9"/>
      <sheetData sheetId="10">
        <row r="1">
          <cell r="A1" t="str">
            <v>UBND XÃ CƯỜNG LỢI</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GV"/>
      <sheetName val="Biểu 04-QTNĐ, huyện, xã"/>
      <sheetName val="Biểu 04-QTNĐ tỉnh"/>
      <sheetName val="Phụ lục I"/>
      <sheetName val="Phụ lục II"/>
      <sheetName val="Sheet1"/>
    </sheetNames>
    <sheetDataSet>
      <sheetData sheetId="0" refreshError="1"/>
      <sheetData sheetId="1" refreshError="1">
        <row r="116">
          <cell r="I116">
            <v>12890000</v>
          </cell>
        </row>
        <row r="153">
          <cell r="O153">
            <v>2551123813</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03"/>
  <sheetViews>
    <sheetView topLeftCell="A73" workbookViewId="0">
      <selection activeCell="G83" sqref="G83"/>
    </sheetView>
  </sheetViews>
  <sheetFormatPr defaultColWidth="9.28515625" defaultRowHeight="15.75"/>
  <cols>
    <col min="1" max="1" width="18.7109375" style="6" customWidth="1"/>
    <col min="2" max="2" width="53.28515625" style="5" customWidth="1"/>
    <col min="3" max="3" width="58.42578125" style="5" customWidth="1"/>
    <col min="4" max="4" width="9.28515625" style="4" hidden="1" customWidth="1"/>
    <col min="5" max="5" width="12.7109375" style="4" hidden="1" customWidth="1"/>
    <col min="6" max="16384" width="9.28515625" style="5"/>
  </cols>
  <sheetData>
    <row r="1" spans="1:5" ht="18.75">
      <c r="A1" s="1757" t="s">
        <v>486</v>
      </c>
      <c r="B1" s="1757"/>
      <c r="C1" s="1757"/>
      <c r="D1" s="1757"/>
      <c r="E1" s="1757"/>
    </row>
    <row r="2" spans="1:5" ht="39" customHeight="1">
      <c r="A2" s="1762" t="s">
        <v>134</v>
      </c>
      <c r="B2" s="1762"/>
      <c r="C2" s="1762"/>
      <c r="D2" s="1762"/>
      <c r="E2" s="1762"/>
    </row>
    <row r="3" spans="1:5">
      <c r="A3" s="1763"/>
      <c r="B3" s="1764"/>
      <c r="C3" s="1764"/>
    </row>
    <row r="4" spans="1:5" ht="36" customHeight="1">
      <c r="A4" s="1" t="s">
        <v>424</v>
      </c>
      <c r="B4" s="2" t="s">
        <v>292</v>
      </c>
      <c r="C4" s="2" t="s">
        <v>425</v>
      </c>
      <c r="E4" s="2" t="s">
        <v>423</v>
      </c>
    </row>
    <row r="5" spans="1:5">
      <c r="A5" s="7" t="s">
        <v>475</v>
      </c>
      <c r="B5" s="8" t="s">
        <v>476</v>
      </c>
      <c r="C5" s="9"/>
      <c r="E5" s="19"/>
    </row>
    <row r="6" spans="1:5" ht="20.25" customHeight="1">
      <c r="A6" s="10" t="s">
        <v>477</v>
      </c>
      <c r="B6" s="11" t="s">
        <v>478</v>
      </c>
      <c r="C6" s="1768" t="s">
        <v>479</v>
      </c>
      <c r="E6" s="1758" t="str">
        <f>+IF(D6="x",0,"x")</f>
        <v>x</v>
      </c>
    </row>
    <row r="7" spans="1:5" ht="31.5">
      <c r="A7" s="10" t="s">
        <v>480</v>
      </c>
      <c r="B7" s="11" t="s">
        <v>316</v>
      </c>
      <c r="C7" s="1768"/>
      <c r="E7" s="1758" t="str">
        <f t="shared" ref="E7:E41" si="0">+IF(D7="x",0,"x")</f>
        <v>x</v>
      </c>
    </row>
    <row r="8" spans="1:5" ht="21.75" customHeight="1">
      <c r="A8" s="10" t="s">
        <v>317</v>
      </c>
      <c r="B8" s="11" t="s">
        <v>318</v>
      </c>
      <c r="C8" s="1768"/>
      <c r="E8" s="1758" t="str">
        <f t="shared" si="0"/>
        <v>x</v>
      </c>
    </row>
    <row r="9" spans="1:5" ht="47.25">
      <c r="A9" s="10" t="s">
        <v>319</v>
      </c>
      <c r="B9" s="11" t="s">
        <v>481</v>
      </c>
      <c r="C9" s="11" t="s">
        <v>482</v>
      </c>
      <c r="E9" s="3" t="str">
        <f t="shared" si="0"/>
        <v>x</v>
      </c>
    </row>
    <row r="10" spans="1:5">
      <c r="A10" s="7" t="s">
        <v>483</v>
      </c>
      <c r="B10" s="8" t="s">
        <v>110</v>
      </c>
      <c r="C10" s="9"/>
      <c r="E10" s="19"/>
    </row>
    <row r="11" spans="1:5" ht="39" customHeight="1">
      <c r="A11" s="10" t="s">
        <v>111</v>
      </c>
      <c r="B11" s="11" t="s">
        <v>97</v>
      </c>
      <c r="C11" s="1765" t="s">
        <v>150</v>
      </c>
      <c r="E11" s="1759" t="str">
        <f t="shared" si="0"/>
        <v>x</v>
      </c>
    </row>
    <row r="12" spans="1:5" ht="39" customHeight="1">
      <c r="A12" s="10" t="s">
        <v>98</v>
      </c>
      <c r="B12" s="11" t="s">
        <v>99</v>
      </c>
      <c r="C12" s="1767"/>
      <c r="E12" s="1760" t="str">
        <f t="shared" si="0"/>
        <v>x</v>
      </c>
    </row>
    <row r="13" spans="1:5" ht="47.25">
      <c r="A13" s="10" t="s">
        <v>199</v>
      </c>
      <c r="B13" s="11" t="s">
        <v>128</v>
      </c>
      <c r="C13" s="11" t="s">
        <v>441</v>
      </c>
      <c r="E13" s="3" t="str">
        <f t="shared" si="0"/>
        <v>x</v>
      </c>
    </row>
    <row r="14" spans="1:5" ht="78.75">
      <c r="A14" s="10" t="s">
        <v>129</v>
      </c>
      <c r="B14" s="11" t="s">
        <v>100</v>
      </c>
      <c r="C14" s="11" t="s">
        <v>151</v>
      </c>
      <c r="E14" s="3" t="str">
        <f t="shared" si="0"/>
        <v>x</v>
      </c>
    </row>
    <row r="15" spans="1:5" ht="78.75">
      <c r="A15" s="10" t="s">
        <v>101</v>
      </c>
      <c r="B15" s="11" t="s">
        <v>102</v>
      </c>
      <c r="C15" s="11" t="s">
        <v>151</v>
      </c>
      <c r="E15" s="3" t="str">
        <f t="shared" si="0"/>
        <v>x</v>
      </c>
    </row>
    <row r="16" spans="1:5" ht="78.75">
      <c r="A16" s="10" t="s">
        <v>103</v>
      </c>
      <c r="B16" s="11" t="s">
        <v>104</v>
      </c>
      <c r="C16" s="11" t="s">
        <v>385</v>
      </c>
      <c r="D16" s="4" t="s">
        <v>487</v>
      </c>
      <c r="E16" s="3"/>
    </row>
    <row r="17" spans="1:5" ht="72.75" customHeight="1">
      <c r="A17" s="10" t="s">
        <v>356</v>
      </c>
      <c r="B17" s="11" t="s">
        <v>357</v>
      </c>
      <c r="C17" s="11" t="s">
        <v>422</v>
      </c>
      <c r="E17" s="3" t="str">
        <f t="shared" si="0"/>
        <v>x</v>
      </c>
    </row>
    <row r="18" spans="1:5" ht="94.5">
      <c r="A18" s="10" t="s">
        <v>358</v>
      </c>
      <c r="B18" s="11" t="s">
        <v>357</v>
      </c>
      <c r="C18" s="11" t="s">
        <v>85</v>
      </c>
      <c r="E18" s="3" t="str">
        <f t="shared" si="0"/>
        <v>x</v>
      </c>
    </row>
    <row r="19" spans="1:5" ht="47.25">
      <c r="A19" s="10" t="s">
        <v>359</v>
      </c>
      <c r="B19" s="11" t="s">
        <v>360</v>
      </c>
      <c r="C19" s="11" t="s">
        <v>86</v>
      </c>
      <c r="E19" s="3" t="str">
        <f t="shared" si="0"/>
        <v>x</v>
      </c>
    </row>
    <row r="20" spans="1:5" ht="71.25" customHeight="1">
      <c r="A20" s="10" t="s">
        <v>230</v>
      </c>
      <c r="B20" s="11" t="s">
        <v>361</v>
      </c>
      <c r="C20" s="11" t="s">
        <v>87</v>
      </c>
      <c r="E20" s="3" t="str">
        <f t="shared" si="0"/>
        <v>x</v>
      </c>
    </row>
    <row r="21" spans="1:5" ht="78.75" customHeight="1">
      <c r="A21" s="10" t="s">
        <v>362</v>
      </c>
      <c r="B21" s="11" t="s">
        <v>361</v>
      </c>
      <c r="C21" s="11" t="s">
        <v>262</v>
      </c>
      <c r="E21" s="3" t="str">
        <f t="shared" si="0"/>
        <v>x</v>
      </c>
    </row>
    <row r="22" spans="1:5" ht="63">
      <c r="A22" s="10" t="s">
        <v>363</v>
      </c>
      <c r="B22" s="11" t="s">
        <v>361</v>
      </c>
      <c r="C22" s="11" t="s">
        <v>308</v>
      </c>
      <c r="E22" s="3" t="str">
        <f t="shared" si="0"/>
        <v>x</v>
      </c>
    </row>
    <row r="23" spans="1:5" ht="63">
      <c r="A23" s="10" t="s">
        <v>364</v>
      </c>
      <c r="B23" s="11" t="s">
        <v>361</v>
      </c>
      <c r="C23" s="11" t="s">
        <v>309</v>
      </c>
      <c r="E23" s="3" t="str">
        <f t="shared" si="0"/>
        <v>x</v>
      </c>
    </row>
    <row r="24" spans="1:5" ht="31.5">
      <c r="A24" s="10" t="s">
        <v>365</v>
      </c>
      <c r="B24" s="11" t="s">
        <v>366</v>
      </c>
      <c r="C24" s="1765" t="s">
        <v>441</v>
      </c>
      <c r="E24" s="1759" t="str">
        <f t="shared" si="0"/>
        <v>x</v>
      </c>
    </row>
    <row r="25" spans="1:5">
      <c r="A25" s="10" t="s">
        <v>451</v>
      </c>
      <c r="B25" s="11" t="s">
        <v>452</v>
      </c>
      <c r="C25" s="1766"/>
      <c r="E25" s="1761" t="str">
        <f t="shared" si="0"/>
        <v>x</v>
      </c>
    </row>
    <row r="26" spans="1:5">
      <c r="A26" s="10" t="s">
        <v>453</v>
      </c>
      <c r="B26" s="11" t="s">
        <v>454</v>
      </c>
      <c r="C26" s="1766"/>
      <c r="E26" s="1761" t="str">
        <f t="shared" si="0"/>
        <v>x</v>
      </c>
    </row>
    <row r="27" spans="1:5">
      <c r="A27" s="10" t="s">
        <v>455</v>
      </c>
      <c r="B27" s="11" t="s">
        <v>456</v>
      </c>
      <c r="C27" s="1766"/>
      <c r="E27" s="1761" t="str">
        <f t="shared" si="0"/>
        <v>x</v>
      </c>
    </row>
    <row r="28" spans="1:5" ht="31.5">
      <c r="A28" s="10" t="s">
        <v>457</v>
      </c>
      <c r="B28" s="11" t="s">
        <v>458</v>
      </c>
      <c r="C28" s="1766"/>
      <c r="E28" s="1761" t="str">
        <f t="shared" si="0"/>
        <v>x</v>
      </c>
    </row>
    <row r="29" spans="1:5">
      <c r="A29" s="10" t="s">
        <v>459</v>
      </c>
      <c r="B29" s="11" t="s">
        <v>444</v>
      </c>
      <c r="C29" s="1766"/>
      <c r="E29" s="1761" t="str">
        <f t="shared" si="0"/>
        <v>x</v>
      </c>
    </row>
    <row r="30" spans="1:5">
      <c r="A30" s="10" t="s">
        <v>445</v>
      </c>
      <c r="B30" s="11" t="s">
        <v>176</v>
      </c>
      <c r="C30" s="1766"/>
      <c r="E30" s="1761" t="str">
        <f t="shared" si="0"/>
        <v>x</v>
      </c>
    </row>
    <row r="31" spans="1:5">
      <c r="A31" s="10" t="s">
        <v>177</v>
      </c>
      <c r="B31" s="11" t="s">
        <v>178</v>
      </c>
      <c r="C31" s="1766"/>
      <c r="E31" s="1761" t="str">
        <f t="shared" si="0"/>
        <v>x</v>
      </c>
    </row>
    <row r="32" spans="1:5" ht="31.5">
      <c r="A32" s="10" t="s">
        <v>179</v>
      </c>
      <c r="B32" s="11" t="s">
        <v>180</v>
      </c>
      <c r="C32" s="1766"/>
      <c r="E32" s="1761" t="str">
        <f t="shared" si="0"/>
        <v>x</v>
      </c>
    </row>
    <row r="33" spans="1:5" ht="31.5">
      <c r="A33" s="10" t="s">
        <v>181</v>
      </c>
      <c r="B33" s="11" t="s">
        <v>299</v>
      </c>
      <c r="C33" s="1767"/>
      <c r="E33" s="1760" t="str">
        <f t="shared" si="0"/>
        <v>x</v>
      </c>
    </row>
    <row r="34" spans="1:5" ht="63">
      <c r="A34" s="10" t="s">
        <v>300</v>
      </c>
      <c r="B34" s="11" t="s">
        <v>301</v>
      </c>
      <c r="C34" s="11" t="s">
        <v>310</v>
      </c>
      <c r="E34" s="3" t="str">
        <f t="shared" si="0"/>
        <v>x</v>
      </c>
    </row>
    <row r="35" spans="1:5" ht="31.5">
      <c r="A35" s="10" t="s">
        <v>302</v>
      </c>
      <c r="B35" s="11" t="s">
        <v>303</v>
      </c>
      <c r="C35" s="11" t="s">
        <v>304</v>
      </c>
      <c r="E35" s="3" t="str">
        <f t="shared" si="0"/>
        <v>x</v>
      </c>
    </row>
    <row r="36" spans="1:5" ht="31.5">
      <c r="A36" s="10" t="s">
        <v>305</v>
      </c>
      <c r="B36" s="11" t="s">
        <v>306</v>
      </c>
      <c r="C36" s="1765" t="s">
        <v>441</v>
      </c>
      <c r="E36" s="1759" t="str">
        <f t="shared" si="0"/>
        <v>x</v>
      </c>
    </row>
    <row r="37" spans="1:5" ht="31.5">
      <c r="A37" s="10" t="s">
        <v>307</v>
      </c>
      <c r="B37" s="11" t="s">
        <v>369</v>
      </c>
      <c r="C37" s="1766"/>
      <c r="E37" s="1761" t="str">
        <f t="shared" si="0"/>
        <v>x</v>
      </c>
    </row>
    <row r="38" spans="1:5" ht="31.5">
      <c r="A38" s="10" t="s">
        <v>370</v>
      </c>
      <c r="B38" s="11" t="s">
        <v>197</v>
      </c>
      <c r="C38" s="1767"/>
      <c r="E38" s="1760" t="str">
        <f t="shared" si="0"/>
        <v>x</v>
      </c>
    </row>
    <row r="39" spans="1:5" ht="84" customHeight="1">
      <c r="A39" s="18" t="s">
        <v>276</v>
      </c>
      <c r="B39" s="11" t="s">
        <v>277</v>
      </c>
      <c r="C39" s="11" t="s">
        <v>460</v>
      </c>
      <c r="D39" s="4" t="s">
        <v>487</v>
      </c>
      <c r="E39" s="3"/>
    </row>
    <row r="40" spans="1:5" ht="47.25">
      <c r="A40" s="18" t="s">
        <v>130</v>
      </c>
      <c r="B40" s="11" t="s">
        <v>131</v>
      </c>
      <c r="C40" s="11" t="s">
        <v>132</v>
      </c>
      <c r="D40" s="4" t="s">
        <v>487</v>
      </c>
      <c r="E40" s="3"/>
    </row>
    <row r="41" spans="1:5" ht="31.5">
      <c r="A41" s="10" t="s">
        <v>133</v>
      </c>
      <c r="B41" s="11" t="s">
        <v>105</v>
      </c>
      <c r="C41" s="11" t="s">
        <v>152</v>
      </c>
      <c r="E41" s="3" t="str">
        <f t="shared" si="0"/>
        <v>x</v>
      </c>
    </row>
    <row r="42" spans="1:5" ht="31.5">
      <c r="A42" s="7" t="s">
        <v>153</v>
      </c>
      <c r="B42" s="8" t="s">
        <v>154</v>
      </c>
      <c r="C42" s="9"/>
      <c r="E42" s="19"/>
    </row>
    <row r="43" spans="1:5">
      <c r="A43" s="12" t="s">
        <v>155</v>
      </c>
      <c r="B43" s="11" t="s">
        <v>320</v>
      </c>
      <c r="C43" s="1765" t="s">
        <v>332</v>
      </c>
      <c r="D43" s="4" t="s">
        <v>487</v>
      </c>
      <c r="E43" s="1759"/>
    </row>
    <row r="44" spans="1:5">
      <c r="A44" s="12" t="s">
        <v>321</v>
      </c>
      <c r="B44" s="11" t="s">
        <v>322</v>
      </c>
      <c r="C44" s="1766"/>
      <c r="D44" s="4" t="s">
        <v>487</v>
      </c>
      <c r="E44" s="1761"/>
    </row>
    <row r="45" spans="1:5">
      <c r="A45" s="12" t="s">
        <v>323</v>
      </c>
      <c r="B45" s="11" t="s">
        <v>324</v>
      </c>
      <c r="C45" s="1766"/>
      <c r="D45" s="4" t="s">
        <v>487</v>
      </c>
      <c r="E45" s="1761"/>
    </row>
    <row r="46" spans="1:5">
      <c r="A46" s="12" t="s">
        <v>325</v>
      </c>
      <c r="B46" s="11" t="s">
        <v>426</v>
      </c>
      <c r="C46" s="1767"/>
      <c r="D46" s="4" t="s">
        <v>487</v>
      </c>
      <c r="E46" s="1760"/>
    </row>
    <row r="47" spans="1:5">
      <c r="A47" s="7" t="s">
        <v>326</v>
      </c>
      <c r="B47" s="8" t="s">
        <v>489</v>
      </c>
      <c r="C47" s="9"/>
      <c r="E47" s="19"/>
    </row>
    <row r="48" spans="1:5">
      <c r="A48" s="10" t="s">
        <v>490</v>
      </c>
      <c r="B48" s="11" t="s">
        <v>491</v>
      </c>
      <c r="C48" s="1765" t="s">
        <v>149</v>
      </c>
      <c r="E48" s="1759" t="str">
        <f t="shared" ref="E48:E62" si="1">+IF(D48="x",0,"x")</f>
        <v>x</v>
      </c>
    </row>
    <row r="49" spans="1:5" ht="63">
      <c r="A49" s="10" t="s">
        <v>492</v>
      </c>
      <c r="B49" s="11" t="s">
        <v>165</v>
      </c>
      <c r="C49" s="1766"/>
      <c r="E49" s="1761" t="str">
        <f t="shared" si="1"/>
        <v>x</v>
      </c>
    </row>
    <row r="50" spans="1:5" ht="47.25">
      <c r="A50" s="10" t="s">
        <v>166</v>
      </c>
      <c r="B50" s="11" t="s">
        <v>167</v>
      </c>
      <c r="C50" s="1767"/>
      <c r="E50" s="1760" t="str">
        <f t="shared" si="1"/>
        <v>x</v>
      </c>
    </row>
    <row r="51" spans="1:5" ht="63">
      <c r="A51" s="10" t="s">
        <v>168</v>
      </c>
      <c r="B51" s="11" t="s">
        <v>169</v>
      </c>
      <c r="C51" s="11" t="s">
        <v>333</v>
      </c>
      <c r="E51" s="3" t="str">
        <f t="shared" si="1"/>
        <v>x</v>
      </c>
    </row>
    <row r="52" spans="1:5" ht="31.5">
      <c r="A52" s="10" t="s">
        <v>170</v>
      </c>
      <c r="B52" s="11" t="s">
        <v>171</v>
      </c>
      <c r="C52" s="11" t="s">
        <v>278</v>
      </c>
      <c r="E52" s="3" t="str">
        <f t="shared" si="1"/>
        <v>x</v>
      </c>
    </row>
    <row r="53" spans="1:5">
      <c r="A53" s="7" t="s">
        <v>279</v>
      </c>
      <c r="B53" s="8" t="s">
        <v>280</v>
      </c>
      <c r="C53" s="9"/>
      <c r="E53" s="19"/>
    </row>
    <row r="54" spans="1:5">
      <c r="A54" s="10" t="s">
        <v>281</v>
      </c>
      <c r="B54" s="11" t="s">
        <v>282</v>
      </c>
      <c r="C54" s="1768" t="s">
        <v>83</v>
      </c>
      <c r="E54" s="1758" t="str">
        <f t="shared" si="1"/>
        <v>x</v>
      </c>
    </row>
    <row r="55" spans="1:5" ht="31.5">
      <c r="A55" s="10" t="s">
        <v>84</v>
      </c>
      <c r="B55" s="11" t="s">
        <v>37</v>
      </c>
      <c r="C55" s="1768"/>
      <c r="E55" s="1758" t="str">
        <f t="shared" si="1"/>
        <v>x</v>
      </c>
    </row>
    <row r="56" spans="1:5" ht="31.5">
      <c r="A56" s="10" t="s">
        <v>38</v>
      </c>
      <c r="B56" s="11" t="s">
        <v>428</v>
      </c>
      <c r="C56" s="1768"/>
      <c r="E56" s="1758" t="str">
        <f t="shared" si="1"/>
        <v>x</v>
      </c>
    </row>
    <row r="57" spans="1:5" ht="31.5">
      <c r="A57" s="10" t="s">
        <v>429</v>
      </c>
      <c r="B57" s="11" t="s">
        <v>380</v>
      </c>
      <c r="C57" s="1768"/>
      <c r="E57" s="1758" t="str">
        <f t="shared" si="1"/>
        <v>x</v>
      </c>
    </row>
    <row r="58" spans="1:5">
      <c r="A58" s="10" t="s">
        <v>381</v>
      </c>
      <c r="B58" s="11" t="s">
        <v>249</v>
      </c>
      <c r="C58" s="1768"/>
      <c r="E58" s="1758" t="str">
        <f t="shared" si="1"/>
        <v>x</v>
      </c>
    </row>
    <row r="59" spans="1:5">
      <c r="A59" s="10" t="s">
        <v>250</v>
      </c>
      <c r="B59" s="11" t="s">
        <v>251</v>
      </c>
      <c r="C59" s="1768"/>
      <c r="E59" s="1758" t="str">
        <f t="shared" si="1"/>
        <v>x</v>
      </c>
    </row>
    <row r="60" spans="1:5" ht="47.25">
      <c r="A60" s="10" t="s">
        <v>252</v>
      </c>
      <c r="B60" s="11" t="s">
        <v>253</v>
      </c>
      <c r="C60" s="1768" t="s">
        <v>83</v>
      </c>
      <c r="E60" s="1758" t="str">
        <f t="shared" si="1"/>
        <v>x</v>
      </c>
    </row>
    <row r="61" spans="1:5" ht="31.5">
      <c r="A61" s="10" t="s">
        <v>254</v>
      </c>
      <c r="B61" s="11" t="s">
        <v>255</v>
      </c>
      <c r="C61" s="1768"/>
      <c r="E61" s="1758" t="str">
        <f t="shared" si="1"/>
        <v>x</v>
      </c>
    </row>
    <row r="62" spans="1:5" ht="31.5">
      <c r="A62" s="10" t="s">
        <v>256</v>
      </c>
      <c r="B62" s="11" t="s">
        <v>257</v>
      </c>
      <c r="C62" s="1768"/>
      <c r="E62" s="1758" t="str">
        <f t="shared" si="1"/>
        <v>x</v>
      </c>
    </row>
    <row r="63" spans="1:5" ht="31.5">
      <c r="A63" s="7" t="s">
        <v>258</v>
      </c>
      <c r="B63" s="8" t="s">
        <v>259</v>
      </c>
      <c r="C63" s="9"/>
      <c r="E63" s="19"/>
    </row>
    <row r="64" spans="1:5">
      <c r="A64" s="13">
        <v>1</v>
      </c>
      <c r="B64" s="14" t="s">
        <v>260</v>
      </c>
      <c r="C64" s="11"/>
      <c r="E64" s="3"/>
    </row>
    <row r="65" spans="1:5">
      <c r="A65" s="12" t="s">
        <v>261</v>
      </c>
      <c r="B65" s="11" t="s">
        <v>97</v>
      </c>
      <c r="C65" s="1768" t="s">
        <v>494</v>
      </c>
      <c r="D65" s="4" t="s">
        <v>487</v>
      </c>
      <c r="E65" s="1758"/>
    </row>
    <row r="66" spans="1:5">
      <c r="A66" s="12" t="s">
        <v>495</v>
      </c>
      <c r="B66" s="11" t="s">
        <v>496</v>
      </c>
      <c r="C66" s="1768"/>
      <c r="D66" s="4" t="s">
        <v>487</v>
      </c>
      <c r="E66" s="1758"/>
    </row>
    <row r="67" spans="1:5" ht="31.5">
      <c r="A67" s="12" t="s">
        <v>497</v>
      </c>
      <c r="B67" s="11" t="s">
        <v>498</v>
      </c>
      <c r="C67" s="1768"/>
      <c r="D67" s="4" t="s">
        <v>487</v>
      </c>
      <c r="E67" s="1758"/>
    </row>
    <row r="68" spans="1:5" ht="47.25">
      <c r="A68" s="12" t="s">
        <v>145</v>
      </c>
      <c r="B68" s="11" t="s">
        <v>79</v>
      </c>
      <c r="C68" s="1768"/>
      <c r="D68" s="4" t="s">
        <v>487</v>
      </c>
      <c r="E68" s="1758"/>
    </row>
    <row r="69" spans="1:5" ht="47.25">
      <c r="A69" s="12" t="s">
        <v>80</v>
      </c>
      <c r="B69" s="11" t="s">
        <v>81</v>
      </c>
      <c r="C69" s="1768"/>
      <c r="D69" s="4" t="s">
        <v>487</v>
      </c>
      <c r="E69" s="1758"/>
    </row>
    <row r="70" spans="1:5">
      <c r="A70" s="12" t="s">
        <v>82</v>
      </c>
      <c r="B70" s="11" t="s">
        <v>247</v>
      </c>
      <c r="C70" s="1768"/>
      <c r="D70" s="4" t="s">
        <v>487</v>
      </c>
      <c r="E70" s="1758"/>
    </row>
    <row r="71" spans="1:5" ht="31.5">
      <c r="A71" s="12" t="s">
        <v>248</v>
      </c>
      <c r="B71" s="11" t="s">
        <v>146</v>
      </c>
      <c r="C71" s="1768"/>
      <c r="D71" s="4" t="s">
        <v>487</v>
      </c>
      <c r="E71" s="1758"/>
    </row>
    <row r="72" spans="1:5">
      <c r="A72" s="12" t="s">
        <v>147</v>
      </c>
      <c r="B72" s="11" t="s">
        <v>148</v>
      </c>
      <c r="C72" s="1768"/>
      <c r="D72" s="4" t="s">
        <v>487</v>
      </c>
      <c r="E72" s="1758"/>
    </row>
    <row r="73" spans="1:5" ht="47.25">
      <c r="A73" s="12" t="s">
        <v>462</v>
      </c>
      <c r="B73" s="11" t="s">
        <v>463</v>
      </c>
      <c r="C73" s="1768"/>
      <c r="D73" s="4" t="s">
        <v>487</v>
      </c>
      <c r="E73" s="1758"/>
    </row>
    <row r="74" spans="1:5" ht="63">
      <c r="A74" s="12" t="s">
        <v>464</v>
      </c>
      <c r="B74" s="11" t="s">
        <v>465</v>
      </c>
      <c r="C74" s="1768"/>
      <c r="D74" s="4" t="s">
        <v>487</v>
      </c>
      <c r="E74" s="1758"/>
    </row>
    <row r="75" spans="1:5" ht="63">
      <c r="A75" s="12" t="s">
        <v>466</v>
      </c>
      <c r="B75" s="11" t="s">
        <v>467</v>
      </c>
      <c r="C75" s="1768"/>
      <c r="D75" s="4" t="s">
        <v>487</v>
      </c>
      <c r="E75" s="1758"/>
    </row>
    <row r="76" spans="1:5" ht="63">
      <c r="A76" s="12" t="s">
        <v>208</v>
      </c>
      <c r="B76" s="11" t="s">
        <v>209</v>
      </c>
      <c r="C76" s="1768"/>
      <c r="D76" s="4" t="s">
        <v>487</v>
      </c>
      <c r="E76" s="1758"/>
    </row>
    <row r="77" spans="1:5">
      <c r="A77" s="10" t="s">
        <v>210</v>
      </c>
      <c r="B77" s="11" t="s">
        <v>97</v>
      </c>
      <c r="C77" s="1768" t="s">
        <v>200</v>
      </c>
      <c r="E77" s="1758" t="str">
        <f>+IF(D77="x",0,"x")</f>
        <v>x</v>
      </c>
    </row>
    <row r="78" spans="1:5">
      <c r="A78" s="10" t="s">
        <v>201</v>
      </c>
      <c r="B78" s="11" t="s">
        <v>496</v>
      </c>
      <c r="C78" s="1768"/>
      <c r="E78" s="1758" t="str">
        <f>+IF(D78="x",0,"x")</f>
        <v>x</v>
      </c>
    </row>
    <row r="79" spans="1:5">
      <c r="A79" s="13">
        <v>2</v>
      </c>
      <c r="B79" s="14" t="s">
        <v>202</v>
      </c>
      <c r="C79" s="11"/>
      <c r="E79" s="3"/>
    </row>
    <row r="80" spans="1:5">
      <c r="A80" s="12" t="s">
        <v>203</v>
      </c>
      <c r="B80" s="11" t="s">
        <v>204</v>
      </c>
      <c r="C80" s="1768" t="s">
        <v>13</v>
      </c>
      <c r="D80" s="4" t="s">
        <v>487</v>
      </c>
      <c r="E80" s="1758"/>
    </row>
    <row r="81" spans="1:5">
      <c r="A81" s="12" t="s">
        <v>14</v>
      </c>
      <c r="B81" s="11" t="s">
        <v>15</v>
      </c>
      <c r="C81" s="1768"/>
      <c r="D81" s="4" t="s">
        <v>487</v>
      </c>
      <c r="E81" s="1758"/>
    </row>
    <row r="82" spans="1:5">
      <c r="A82" s="12" t="s">
        <v>16</v>
      </c>
      <c r="B82" s="11" t="s">
        <v>17</v>
      </c>
      <c r="C82" s="1768"/>
      <c r="D82" s="4" t="s">
        <v>487</v>
      </c>
      <c r="E82" s="1758"/>
    </row>
    <row r="83" spans="1:5" ht="31.5">
      <c r="A83" s="10" t="s">
        <v>18</v>
      </c>
      <c r="B83" s="11" t="s">
        <v>15</v>
      </c>
      <c r="C83" s="11" t="s">
        <v>19</v>
      </c>
      <c r="E83" s="3" t="str">
        <f>+IF(D83="x",0,"x")</f>
        <v>x</v>
      </c>
    </row>
    <row r="84" spans="1:5" ht="31.5">
      <c r="A84" s="12" t="s">
        <v>20</v>
      </c>
      <c r="B84" s="11" t="s">
        <v>21</v>
      </c>
      <c r="C84" s="11" t="s">
        <v>22</v>
      </c>
      <c r="D84" s="4" t="s">
        <v>487</v>
      </c>
      <c r="E84" s="3"/>
    </row>
    <row r="85" spans="1:5">
      <c r="A85" s="10" t="s">
        <v>23</v>
      </c>
      <c r="B85" s="11" t="s">
        <v>24</v>
      </c>
      <c r="C85" s="1768" t="s">
        <v>25</v>
      </c>
      <c r="E85" s="1758" t="str">
        <f>+IF(D85="x",0,"x")</f>
        <v>x</v>
      </c>
    </row>
    <row r="86" spans="1:5">
      <c r="A86" s="10" t="s">
        <v>26</v>
      </c>
      <c r="B86" s="11" t="s">
        <v>15</v>
      </c>
      <c r="C86" s="1768"/>
      <c r="E86" s="1758" t="str">
        <f>+IF(D86="x",0,"x")</f>
        <v>x</v>
      </c>
    </row>
    <row r="87" spans="1:5">
      <c r="A87" s="10" t="s">
        <v>27</v>
      </c>
      <c r="B87" s="11" t="s">
        <v>28</v>
      </c>
      <c r="C87" s="1768"/>
      <c r="E87" s="1758" t="str">
        <f>+IF(D87="x",0,"x")</f>
        <v>x</v>
      </c>
    </row>
    <row r="88" spans="1:5">
      <c r="A88" s="7" t="s">
        <v>29</v>
      </c>
      <c r="B88" s="8" t="s">
        <v>30</v>
      </c>
      <c r="C88" s="9"/>
      <c r="E88" s="19"/>
    </row>
    <row r="89" spans="1:5" ht="47.25">
      <c r="A89" s="12" t="s">
        <v>31</v>
      </c>
      <c r="B89" s="11" t="s">
        <v>32</v>
      </c>
      <c r="C89" s="1768" t="s">
        <v>55</v>
      </c>
      <c r="D89" s="4" t="s">
        <v>487</v>
      </c>
      <c r="E89" s="1758"/>
    </row>
    <row r="90" spans="1:5" ht="47.25">
      <c r="A90" s="12" t="s">
        <v>56</v>
      </c>
      <c r="B90" s="11" t="s">
        <v>427</v>
      </c>
      <c r="C90" s="1768"/>
      <c r="D90" s="4" t="s">
        <v>487</v>
      </c>
      <c r="E90" s="1758"/>
    </row>
    <row r="91" spans="1:5">
      <c r="A91" s="10" t="s">
        <v>192</v>
      </c>
      <c r="B91" s="11" t="s">
        <v>193</v>
      </c>
      <c r="C91" s="1768" t="s">
        <v>194</v>
      </c>
      <c r="E91" s="1758" t="str">
        <f t="shared" ref="E91:E101" si="2">+IF(D91="x",0,"x")</f>
        <v>x</v>
      </c>
    </row>
    <row r="92" spans="1:5">
      <c r="A92" s="10" t="s">
        <v>195</v>
      </c>
      <c r="B92" s="11" t="s">
        <v>430</v>
      </c>
      <c r="C92" s="1768"/>
      <c r="E92" s="1758" t="str">
        <f t="shared" si="2"/>
        <v>x</v>
      </c>
    </row>
    <row r="93" spans="1:5">
      <c r="A93" s="10" t="s">
        <v>431</v>
      </c>
      <c r="B93" s="11" t="s">
        <v>432</v>
      </c>
      <c r="C93" s="1768"/>
      <c r="E93" s="1758" t="str">
        <f t="shared" si="2"/>
        <v>x</v>
      </c>
    </row>
    <row r="94" spans="1:5" ht="31.5">
      <c r="A94" s="10" t="s">
        <v>433</v>
      </c>
      <c r="B94" s="11" t="s">
        <v>125</v>
      </c>
      <c r="C94" s="1768" t="s">
        <v>126</v>
      </c>
      <c r="E94" s="1758" t="str">
        <f t="shared" si="2"/>
        <v>x</v>
      </c>
    </row>
    <row r="95" spans="1:5" ht="31.5">
      <c r="A95" s="10" t="s">
        <v>127</v>
      </c>
      <c r="B95" s="11" t="s">
        <v>434</v>
      </c>
      <c r="C95" s="1768"/>
      <c r="E95" s="1758" t="str">
        <f t="shared" si="2"/>
        <v>x</v>
      </c>
    </row>
    <row r="96" spans="1:5" ht="31.5">
      <c r="A96" s="10" t="s">
        <v>435</v>
      </c>
      <c r="B96" s="11" t="s">
        <v>436</v>
      </c>
      <c r="C96" s="1768"/>
      <c r="E96" s="1758" t="str">
        <f t="shared" si="2"/>
        <v>x</v>
      </c>
    </row>
    <row r="97" spans="1:5" ht="31.5">
      <c r="A97" s="10" t="s">
        <v>437</v>
      </c>
      <c r="B97" s="11" t="s">
        <v>39</v>
      </c>
      <c r="C97" s="1768"/>
      <c r="E97" s="1758" t="str">
        <f t="shared" si="2"/>
        <v>x</v>
      </c>
    </row>
    <row r="98" spans="1:5">
      <c r="A98" s="10" t="s">
        <v>40</v>
      </c>
      <c r="B98" s="11" t="s">
        <v>41</v>
      </c>
      <c r="C98" s="1768"/>
      <c r="E98" s="1758" t="str">
        <f t="shared" si="2"/>
        <v>x</v>
      </c>
    </row>
    <row r="99" spans="1:5" ht="31.5">
      <c r="A99" s="10" t="s">
        <v>42</v>
      </c>
      <c r="B99" s="11" t="s">
        <v>43</v>
      </c>
      <c r="C99" s="1768"/>
      <c r="E99" s="1758" t="str">
        <f t="shared" si="2"/>
        <v>x</v>
      </c>
    </row>
    <row r="100" spans="1:5" ht="63">
      <c r="A100" s="10" t="s">
        <v>44</v>
      </c>
      <c r="B100" s="11" t="s">
        <v>45</v>
      </c>
      <c r="C100" s="15" t="s">
        <v>461</v>
      </c>
      <c r="E100" s="20" t="str">
        <f t="shared" si="2"/>
        <v>x</v>
      </c>
    </row>
    <row r="101" spans="1:5" ht="31.5">
      <c r="A101" s="10" t="s">
        <v>46</v>
      </c>
      <c r="B101" s="11" t="s">
        <v>484</v>
      </c>
      <c r="C101" s="11" t="s">
        <v>485</v>
      </c>
      <c r="E101" s="3" t="str">
        <f t="shared" si="2"/>
        <v>x</v>
      </c>
    </row>
    <row r="102" spans="1:5">
      <c r="A102" s="16"/>
      <c r="B102" s="17"/>
      <c r="C102" s="17"/>
    </row>
    <row r="103" spans="1:5">
      <c r="A103" s="16"/>
      <c r="B103" s="17"/>
      <c r="C103" s="17"/>
    </row>
  </sheetData>
  <autoFilter ref="A4:E101" xr:uid="{00000000-0009-0000-0000-000000000000}"/>
  <mergeCells count="33">
    <mergeCell ref="E94:E99"/>
    <mergeCell ref="E91:E93"/>
    <mergeCell ref="C94:C99"/>
    <mergeCell ref="E65:E76"/>
    <mergeCell ref="E85:E87"/>
    <mergeCell ref="E89:E90"/>
    <mergeCell ref="C89:C90"/>
    <mergeCell ref="C91:C93"/>
    <mergeCell ref="C80:C82"/>
    <mergeCell ref="C85:C87"/>
    <mergeCell ref="E80:E82"/>
    <mergeCell ref="C43:C46"/>
    <mergeCell ref="C48:C50"/>
    <mergeCell ref="C11:C12"/>
    <mergeCell ref="E43:E46"/>
    <mergeCell ref="E48:E50"/>
    <mergeCell ref="E54:E59"/>
    <mergeCell ref="E60:E62"/>
    <mergeCell ref="C77:C78"/>
    <mergeCell ref="E77:E78"/>
    <mergeCell ref="C54:C59"/>
    <mergeCell ref="C60:C62"/>
    <mergeCell ref="C65:C76"/>
    <mergeCell ref="A1:E1"/>
    <mergeCell ref="E6:E8"/>
    <mergeCell ref="E11:E12"/>
    <mergeCell ref="E24:E33"/>
    <mergeCell ref="E36:E38"/>
    <mergeCell ref="A2:E2"/>
    <mergeCell ref="A3:C3"/>
    <mergeCell ref="C24:C33"/>
    <mergeCell ref="C36:C38"/>
    <mergeCell ref="C6:C8"/>
  </mergeCells>
  <phoneticPr fontId="31" type="noConversion"/>
  <hyperlinks>
    <hyperlink ref="A6" location="'01'!A1" display="Mẫu biểu số 01:" xr:uid="{00000000-0004-0000-0000-000000000000}"/>
    <hyperlink ref="A7" location="'02'!A1" display="Mẫu biểu số 02:" xr:uid="{00000000-0004-0000-0000-000001000000}"/>
    <hyperlink ref="A8" location="'03'!A1" display="Mẫu biểu số 03:" xr:uid="{00000000-0004-0000-0000-000002000000}"/>
    <hyperlink ref="A9" location="'04'!A1" display="Mẫu biểu số 04:" xr:uid="{00000000-0004-0000-0000-000003000000}"/>
    <hyperlink ref="A11" location="'05'!A1" display="Mẫu biểu số 05:" xr:uid="{00000000-0004-0000-0000-000004000000}"/>
    <hyperlink ref="A12" location="'06'!A1" display="Mẫu biểu số 06:" xr:uid="{00000000-0004-0000-0000-000005000000}"/>
    <hyperlink ref="A13" location="'07'!A1" display="Mẫu biểu số 07:" xr:uid="{00000000-0004-0000-0000-000006000000}"/>
    <hyperlink ref="A14" location="'08'!A1" display="Mẫu biểu số 08:" xr:uid="{00000000-0004-0000-0000-000007000000}"/>
    <hyperlink ref="A15" location="'09'!A1" display="Mẫu biểu số 09:" xr:uid="{00000000-0004-0000-0000-000008000000}"/>
    <hyperlink ref="A17" location="'11.1'!A1" display="Mẫu biểu số 11.1:" xr:uid="{00000000-0004-0000-0000-000009000000}"/>
    <hyperlink ref="A18" location="'11.2'!A1" display="Mẫu biểu số 11.2:" xr:uid="{00000000-0004-0000-0000-00000A000000}"/>
    <hyperlink ref="A19" location="'12.1'!A1" display="Mẫu biểu số 12.1:" xr:uid="{00000000-0004-0000-0000-00000B000000}"/>
    <hyperlink ref="A20" location="'12.2'!A1" display="Mẫu biểu số 12.2" xr:uid="{00000000-0004-0000-0000-00000C000000}"/>
    <hyperlink ref="A21" location="'12.3'!A1" display="Mẫu biểu số 12.3:" xr:uid="{00000000-0004-0000-0000-00000D000000}"/>
    <hyperlink ref="A22" location="'12.4'!A1" display="Mẫu biểu số 12.4:" xr:uid="{00000000-0004-0000-0000-00000E000000}"/>
    <hyperlink ref="A23" location="'12.5'!A1" display="Mẫu biểu số 12.5:" xr:uid="{00000000-0004-0000-0000-00000F000000}"/>
    <hyperlink ref="A24" location="'13.1'!A1" display="Mẫu biểu số 13.1:" xr:uid="{00000000-0004-0000-0000-000010000000}"/>
    <hyperlink ref="A25" location="'13.2'!A1" display="Mẫu biểu số 13.2:" xr:uid="{00000000-0004-0000-0000-000011000000}"/>
    <hyperlink ref="A26" location="'13.3'!A1" display="Mẫu biểu số 13.3:" xr:uid="{00000000-0004-0000-0000-000012000000}"/>
    <hyperlink ref="A27" location="'13.4'!A1" display="Mẫu biểu số 13.4:" xr:uid="{00000000-0004-0000-0000-000013000000}"/>
    <hyperlink ref="A28" location="'13.5'!A1" display="Mẫu biểu số 13.5:" xr:uid="{00000000-0004-0000-0000-000014000000}"/>
    <hyperlink ref="A29" location="'13.6'!A1" display="Mẫu biểu số 13.6:" xr:uid="{00000000-0004-0000-0000-000015000000}"/>
    <hyperlink ref="A30" location="'13.7'!A1" display="Mẫu biểu số 13.7:" xr:uid="{00000000-0004-0000-0000-000016000000}"/>
    <hyperlink ref="A31" location="'13.8'!A1" display="Mẫu biểu số 13.8:" xr:uid="{00000000-0004-0000-0000-000017000000}"/>
    <hyperlink ref="A32" location="'13.9'!A1" display="Mẫu biểu số 13.9:" xr:uid="{00000000-0004-0000-0000-000018000000}"/>
    <hyperlink ref="A33" location="'13.10'!A1" display="Mẫu biểu số 13.10:" xr:uid="{00000000-0004-0000-0000-000019000000}"/>
    <hyperlink ref="A34" location="'13.11'!A1" display="Mẫu biểu số 13.11:" xr:uid="{00000000-0004-0000-0000-00001A000000}"/>
    <hyperlink ref="A35" location="'13.12'!A1" display="Mẫu biểu số 13.12:" xr:uid="{00000000-0004-0000-0000-00001B000000}"/>
    <hyperlink ref="A36" location="'14'!A1" display="Mẫu biểu số 14:" xr:uid="{00000000-0004-0000-0000-00001C000000}"/>
    <hyperlink ref="A37" location="'15.1'!A1" display="Mẫu biểu số 15.1:" xr:uid="{00000000-0004-0000-0000-00001D000000}"/>
    <hyperlink ref="A38" location="'15.2'!A1" display="Mẫu biểu số 15.2:" xr:uid="{00000000-0004-0000-0000-00001E000000}"/>
    <hyperlink ref="A41" location="'18'!A1" display="Mẫu biểu số 18:" xr:uid="{00000000-0004-0000-0000-00001F000000}"/>
    <hyperlink ref="A48" location="'23'!A1" display="Mẫu biểu số 23:" xr:uid="{00000000-0004-0000-0000-000020000000}"/>
    <hyperlink ref="A49" location="'24'!A1" display="Mẫu biểu số 24:" xr:uid="{00000000-0004-0000-0000-000021000000}"/>
    <hyperlink ref="A50" location="'25'!A1" display="Mẫu biểu số 25:" xr:uid="{00000000-0004-0000-0000-000022000000}"/>
    <hyperlink ref="A51" location="'26'!A1" display="Mẫu biểu số 26:" xr:uid="{00000000-0004-0000-0000-000023000000}"/>
    <hyperlink ref="A52" location="'27'!A1" display="Mẫu biểu số 27:" xr:uid="{00000000-0004-0000-0000-000024000000}"/>
    <hyperlink ref="A54" location="'28'!A1" display="Mẫu biểu số 28:" xr:uid="{00000000-0004-0000-0000-000025000000}"/>
    <hyperlink ref="A55" location="'29.1'!A1" display="Mẫu biểu số 29.1:" xr:uid="{00000000-0004-0000-0000-000026000000}"/>
    <hyperlink ref="A56" location="'29.2'!A1" display="Mẫu biểu số 29.2:" xr:uid="{00000000-0004-0000-0000-000027000000}"/>
    <hyperlink ref="A57" location="'30'!A1" display="Mẫu biểu số 30:" xr:uid="{00000000-0004-0000-0000-000028000000}"/>
    <hyperlink ref="A58" location="'31'!A1" display="Mẫu biểu số 31:" xr:uid="{00000000-0004-0000-0000-000029000000}"/>
    <hyperlink ref="A59" location="'32'!A1" display="Mẫu biểu số 32:" xr:uid="{00000000-0004-0000-0000-00002A000000}"/>
    <hyperlink ref="A60" location="'33'!A1" display="Mẫu biểu số 33:" xr:uid="{00000000-0004-0000-0000-00002B000000}"/>
    <hyperlink ref="A61" location="'34'!A1" display="Mẫu biểu số 34:" xr:uid="{00000000-0004-0000-0000-00002C000000}"/>
    <hyperlink ref="A62" location="'35'!A1" display="Mẫu biểu số 35:" xr:uid="{00000000-0004-0000-0000-00002D000000}"/>
    <hyperlink ref="A77" location="'48'!A1" display="Mẫu biểu số 48:" xr:uid="{00000000-0004-0000-0000-00002E000000}"/>
    <hyperlink ref="A78" location="'49'!A1" display="Mẫu biểu số 49:" xr:uid="{00000000-0004-0000-0000-00002F000000}"/>
    <hyperlink ref="A83" location="'53'!A1" display="Mẫu biểu số 53:" xr:uid="{00000000-0004-0000-0000-000030000000}"/>
    <hyperlink ref="A85" location="'55'!A1" display="Mẫu biểu số 55:" xr:uid="{00000000-0004-0000-0000-000031000000}"/>
    <hyperlink ref="A86" location="'56'!A1" display="Mẫu biểu số 56:" xr:uid="{00000000-0004-0000-0000-000032000000}"/>
    <hyperlink ref="A87" location="'57'!A1" display="Mẫu biểu số 57:" xr:uid="{00000000-0004-0000-0000-000033000000}"/>
    <hyperlink ref="A91" location="'60'!A1" display="Mẫu biểu số 60:" xr:uid="{00000000-0004-0000-0000-000034000000}"/>
    <hyperlink ref="A92" location="'61'!A1" display="Mẫu biểu số 61:" xr:uid="{00000000-0004-0000-0000-000035000000}"/>
    <hyperlink ref="A93" location="'62'!A1" display="Mẫu biểu số 62:" xr:uid="{00000000-0004-0000-0000-000036000000}"/>
    <hyperlink ref="A94" location="'63'!A1" display="Mẫu biểu số 63:" xr:uid="{00000000-0004-0000-0000-000037000000}"/>
    <hyperlink ref="A95" location="'64'!A1" display="Mẫu biểu số 64:" xr:uid="{00000000-0004-0000-0000-000038000000}"/>
    <hyperlink ref="A96" location="'65'!A1" display="Mẫu biểu số 65:" xr:uid="{00000000-0004-0000-0000-000039000000}"/>
    <hyperlink ref="A97" location="'66'!A1" display="Mẫu biểu số 66:" xr:uid="{00000000-0004-0000-0000-00003A000000}"/>
    <hyperlink ref="A98" location="'67'!A1" display="Mẫu biểu số 67:" xr:uid="{00000000-0004-0000-0000-00003B000000}"/>
    <hyperlink ref="A99" location="'68'!A1" display="Mẫu biểu số 68:" xr:uid="{00000000-0004-0000-0000-00003C000000}"/>
    <hyperlink ref="A100" location="'69'!A1" display="Mẫu biểu số 69:" xr:uid="{00000000-0004-0000-0000-00003D000000}"/>
    <hyperlink ref="A101" location="'70'!A1" display="Mẫu biểu số 70:" xr:uid="{00000000-0004-0000-0000-00003E000000}"/>
    <hyperlink ref="A16" location="'10'!A1" display="Mẫu biểu số 10:" xr:uid="{00000000-0004-0000-0000-00003F000000}"/>
  </hyperlinks>
  <pageMargins left="0.55118110236220474" right="0.25" top="0.51181102362204722" bottom="0.27559055118110237" header="0.31496062992125984" footer="0.23622047244094491"/>
  <pageSetup paperSize="9" scale="6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0"/>
  </sheetPr>
  <dimension ref="A1:N131"/>
  <sheetViews>
    <sheetView view="pageBreakPreview" topLeftCell="A66" zoomScale="60" zoomScaleNormal="130" workbookViewId="0">
      <selection activeCell="J13" sqref="J13"/>
    </sheetView>
  </sheetViews>
  <sheetFormatPr defaultColWidth="9.28515625" defaultRowHeight="15"/>
  <cols>
    <col min="1" max="1" width="4" style="33" customWidth="1"/>
    <col min="2" max="2" width="37.7109375" style="373" customWidth="1"/>
    <col min="3" max="3" width="10.42578125" style="33" customWidth="1"/>
    <col min="4" max="4" width="12.5703125" style="33" customWidth="1"/>
    <col min="5" max="5" width="10.7109375" style="33" customWidth="1"/>
    <col min="6" max="7" width="13.7109375" style="33" customWidth="1"/>
    <col min="8" max="8" width="14.42578125" style="33" customWidth="1"/>
    <col min="9" max="9" width="8" style="26" customWidth="1"/>
    <col min="10" max="10" width="10" style="26" customWidth="1"/>
    <col min="11" max="11" width="9.42578125" style="26" customWidth="1"/>
    <col min="12" max="12" width="15.28515625" style="33" bestFit="1" customWidth="1"/>
    <col min="13" max="13" width="16" style="33" customWidth="1"/>
    <col min="14" max="14" width="14.140625" style="33" bestFit="1" customWidth="1"/>
    <col min="15" max="16384" width="9.28515625" style="33"/>
  </cols>
  <sheetData>
    <row r="1" spans="1:14" ht="18.75" customHeight="1">
      <c r="A1" s="34" t="str">
        <f>'48.QTCĐNSĐP'!A1</f>
        <v>UBND XÃ CƯỜNG LỢI</v>
      </c>
      <c r="D1" s="907"/>
      <c r="E1" s="907"/>
      <c r="F1" s="908"/>
      <c r="G1" s="907"/>
      <c r="H1" s="907"/>
      <c r="I1" s="1790" t="s">
        <v>1428</v>
      </c>
      <c r="J1" s="1790"/>
      <c r="K1" s="1790"/>
    </row>
    <row r="2" spans="1:14" ht="29.25" customHeight="1">
      <c r="A2" s="1793" t="s">
        <v>1151</v>
      </c>
      <c r="B2" s="1793"/>
      <c r="C2" s="1793"/>
      <c r="D2" s="1793"/>
      <c r="E2" s="1793"/>
      <c r="F2" s="1793"/>
      <c r="G2" s="1793"/>
      <c r="H2" s="1793"/>
      <c r="I2" s="1793"/>
      <c r="J2" s="1793"/>
      <c r="K2" s="1793"/>
    </row>
    <row r="3" spans="1:14" ht="27" customHeight="1">
      <c r="A3" s="1749" t="str">
        <f>+'49'!A3:E3</f>
        <v>(Kèm theo Báo cáo số 151/BC-UBND ngày 20/3/2026 của UBND xã Cường Lợi)</v>
      </c>
      <c r="B3" s="1749"/>
      <c r="C3" s="1749"/>
      <c r="D3" s="1749"/>
      <c r="E3" s="1749"/>
      <c r="F3" s="1749"/>
      <c r="G3" s="1749"/>
      <c r="H3" s="1749"/>
      <c r="I3" s="1749"/>
      <c r="J3" s="1749"/>
      <c r="K3" s="1749"/>
    </row>
    <row r="4" spans="1:14" ht="15.75">
      <c r="B4" s="1359"/>
      <c r="C4" s="1798"/>
      <c r="D4" s="1798"/>
      <c r="E4" s="1247"/>
      <c r="F4" s="1360"/>
      <c r="G4" s="51"/>
      <c r="H4" s="51"/>
      <c r="K4" s="199" t="s">
        <v>290</v>
      </c>
      <c r="L4" s="50"/>
      <c r="M4" s="50"/>
    </row>
    <row r="5" spans="1:14" s="373" customFormat="1" ht="20.25" customHeight="1">
      <c r="A5" s="1797" t="s">
        <v>291</v>
      </c>
      <c r="B5" s="1797" t="s">
        <v>443</v>
      </c>
      <c r="C5" s="1797" t="s">
        <v>1046</v>
      </c>
      <c r="D5" s="1797" t="s">
        <v>143</v>
      </c>
      <c r="E5" s="1797"/>
      <c r="F5" s="1797" t="s">
        <v>136</v>
      </c>
      <c r="G5" s="1800" t="s">
        <v>143</v>
      </c>
      <c r="H5" s="1801"/>
      <c r="I5" s="1799" t="s">
        <v>158</v>
      </c>
      <c r="J5" s="1799"/>
      <c r="K5" s="1799"/>
      <c r="L5" s="1359"/>
      <c r="M5" s="1359"/>
    </row>
    <row r="6" spans="1:14" s="373" customFormat="1" ht="57.75" customHeight="1">
      <c r="A6" s="1797"/>
      <c r="B6" s="1797"/>
      <c r="C6" s="1797"/>
      <c r="D6" s="1298" t="s">
        <v>819</v>
      </c>
      <c r="E6" s="1298" t="s">
        <v>186</v>
      </c>
      <c r="F6" s="1797"/>
      <c r="G6" s="1298" t="s">
        <v>819</v>
      </c>
      <c r="H6" s="1298" t="s">
        <v>186</v>
      </c>
      <c r="I6" s="61" t="s">
        <v>263</v>
      </c>
      <c r="J6" s="61" t="s">
        <v>819</v>
      </c>
      <c r="K6" s="61" t="s">
        <v>186</v>
      </c>
      <c r="L6" s="1359"/>
    </row>
    <row r="7" spans="1:14" s="1306" customFormat="1" ht="16.5" customHeight="1">
      <c r="A7" s="1329" t="s">
        <v>294</v>
      </c>
      <c r="B7" s="1329" t="s">
        <v>295</v>
      </c>
      <c r="C7" s="1329" t="s">
        <v>223</v>
      </c>
      <c r="D7" s="1329">
        <v>2</v>
      </c>
      <c r="E7" s="1329">
        <v>3</v>
      </c>
      <c r="F7" s="1329" t="s">
        <v>224</v>
      </c>
      <c r="G7" s="1329">
        <v>5</v>
      </c>
      <c r="H7" s="1329">
        <v>6</v>
      </c>
      <c r="I7" s="1361" t="s">
        <v>264</v>
      </c>
      <c r="J7" s="1361" t="s">
        <v>265</v>
      </c>
      <c r="K7" s="1361" t="s">
        <v>266</v>
      </c>
    </row>
    <row r="8" spans="1:14" s="1381" customFormat="1" ht="21" customHeight="1">
      <c r="A8" s="1485"/>
      <c r="B8" s="1486" t="s">
        <v>339</v>
      </c>
      <c r="C8" s="1487">
        <f>D8+E8</f>
        <v>76858</v>
      </c>
      <c r="D8" s="1487">
        <f>D9+D29+D74</f>
        <v>0</v>
      </c>
      <c r="E8" s="1487">
        <f>E9+E29+E74</f>
        <v>76858</v>
      </c>
      <c r="F8" s="1503">
        <f>+G8+H8</f>
        <v>103957.14597600001</v>
      </c>
      <c r="G8" s="1503">
        <f>G9+G29+G74</f>
        <v>0</v>
      </c>
      <c r="H8" s="1503">
        <f>H9+H29+H74</f>
        <v>103957.14597600001</v>
      </c>
      <c r="I8" s="1487">
        <f>F8/C8*100</f>
        <v>135.2587186447735</v>
      </c>
      <c r="J8" s="1487"/>
      <c r="K8" s="1487">
        <f>H8/E8*100</f>
        <v>135.2587186447735</v>
      </c>
      <c r="L8" s="1490"/>
    </row>
    <row r="9" spans="1:14" s="1381" customFormat="1" ht="21" customHeight="1">
      <c r="A9" s="1369" t="s">
        <v>294</v>
      </c>
      <c r="B9" s="1370" t="s">
        <v>340</v>
      </c>
      <c r="C9" s="1371">
        <f t="shared" ref="C9:C42" si="0">D9+E9</f>
        <v>63393</v>
      </c>
      <c r="D9" s="1371">
        <f>D10+D20+D26+D27+D28</f>
        <v>0</v>
      </c>
      <c r="E9" s="1371">
        <f>E10+E20+E26+E27+E28</f>
        <v>63393</v>
      </c>
      <c r="F9" s="1380">
        <f>+G9+H9</f>
        <v>57246.243655000006</v>
      </c>
      <c r="G9" s="1380">
        <f>G10+G20+G26+G27+G28</f>
        <v>0</v>
      </c>
      <c r="H9" s="1380">
        <f>H10+H20+H26+H27+H28</f>
        <v>57246.243655000006</v>
      </c>
      <c r="I9" s="1371">
        <f>F9/C9*100</f>
        <v>90.303730151594024</v>
      </c>
      <c r="J9" s="1371"/>
      <c r="K9" s="1371">
        <f t="shared" ref="K9" si="1">H9/E9*100</f>
        <v>90.303730151594024</v>
      </c>
      <c r="L9" s="1490"/>
      <c r="M9" s="1490"/>
    </row>
    <row r="10" spans="1:14" s="1381" customFormat="1" ht="21" customHeight="1">
      <c r="A10" s="1369" t="s">
        <v>296</v>
      </c>
      <c r="B10" s="1370" t="s">
        <v>75</v>
      </c>
      <c r="C10" s="1371">
        <f t="shared" ref="C10:D10" si="2">+C11+C18+C19</f>
        <v>498</v>
      </c>
      <c r="D10" s="1371">
        <f t="shared" si="2"/>
        <v>0</v>
      </c>
      <c r="E10" s="1371">
        <f>+E11+E18+E19</f>
        <v>498</v>
      </c>
      <c r="F10" s="1380">
        <f>+G10+H10</f>
        <v>3916.7099420000004</v>
      </c>
      <c r="G10" s="1380">
        <f>G11+G18+G19</f>
        <v>0</v>
      </c>
      <c r="H10" s="1380">
        <f>H11+H18+H19</f>
        <v>3916.7099420000004</v>
      </c>
      <c r="I10" s="1371">
        <f>F10/C10*100</f>
        <v>786.48794016064267</v>
      </c>
      <c r="J10" s="1371"/>
      <c r="K10" s="1371">
        <f>H10/E10*100</f>
        <v>786.48794016064267</v>
      </c>
      <c r="L10" s="1495"/>
      <c r="M10" s="1495"/>
      <c r="N10" s="1495"/>
    </row>
    <row r="11" spans="1:14" s="1366" customFormat="1" ht="21" customHeight="1">
      <c r="A11" s="1362">
        <v>1</v>
      </c>
      <c r="B11" s="1367" t="s">
        <v>341</v>
      </c>
      <c r="C11" s="1364">
        <f>+'51'!C10</f>
        <v>498</v>
      </c>
      <c r="D11" s="1364">
        <v>0</v>
      </c>
      <c r="E11" s="1364">
        <v>498</v>
      </c>
      <c r="F11" s="1365">
        <f>SUM(F13:F17)</f>
        <v>2911.6060000000002</v>
      </c>
      <c r="G11" s="1365">
        <f>SUM(G13:G17)</f>
        <v>0</v>
      </c>
      <c r="H11" s="1365">
        <f>+'CTMT, NV.PB01'!P151</f>
        <v>3916.7099420000004</v>
      </c>
      <c r="I11" s="1364">
        <f>F11/C11*100</f>
        <v>584.65983935742975</v>
      </c>
      <c r="J11" s="1364"/>
      <c r="K11" s="1371">
        <f>H11/E11*100</f>
        <v>786.48794016064267</v>
      </c>
      <c r="L11" s="1499"/>
      <c r="M11" s="1499"/>
      <c r="N11" s="1499"/>
    </row>
    <row r="12" spans="1:14" s="1366" customFormat="1" ht="21" customHeight="1">
      <c r="A12" s="1362"/>
      <c r="B12" s="1372" t="s">
        <v>219</v>
      </c>
      <c r="C12" s="1364">
        <f t="shared" si="0"/>
        <v>0</v>
      </c>
      <c r="D12" s="1364"/>
      <c r="E12" s="1364"/>
      <c r="F12" s="1365">
        <f t="shared" ref="F12:F18" si="3">SUM(G12:H12)</f>
        <v>0</v>
      </c>
      <c r="G12" s="1365"/>
      <c r="H12" s="1365"/>
      <c r="I12" s="1364"/>
      <c r="J12" s="1364"/>
      <c r="K12" s="1371"/>
      <c r="L12" s="1499"/>
      <c r="M12" s="1499"/>
    </row>
    <row r="13" spans="1:14" s="1366" customFormat="1" ht="21" customHeight="1">
      <c r="A13" s="1362" t="s">
        <v>71</v>
      </c>
      <c r="B13" s="1372" t="s">
        <v>221</v>
      </c>
      <c r="C13" s="1364">
        <f t="shared" si="0"/>
        <v>0</v>
      </c>
      <c r="D13" s="1364"/>
      <c r="E13" s="1364"/>
      <c r="F13" s="1365">
        <f t="shared" si="3"/>
        <v>2911.6060000000002</v>
      </c>
      <c r="G13" s="1365"/>
      <c r="H13" s="1365">
        <f>+'55'!E14</f>
        <v>2911.6060000000002</v>
      </c>
      <c r="I13" s="1364"/>
      <c r="J13" s="1364"/>
      <c r="K13" s="1364"/>
      <c r="L13" s="1499"/>
      <c r="M13" s="1499"/>
    </row>
    <row r="14" spans="1:14" s="1366" customFormat="1" ht="19.899999999999999" customHeight="1">
      <c r="A14" s="1362" t="s">
        <v>71</v>
      </c>
      <c r="B14" s="1372" t="s">
        <v>1003</v>
      </c>
      <c r="C14" s="1364">
        <f t="shared" si="0"/>
        <v>0</v>
      </c>
      <c r="D14" s="1476">
        <v>0</v>
      </c>
      <c r="E14" s="1476"/>
      <c r="F14" s="1494"/>
      <c r="G14" s="1500"/>
      <c r="H14" s="1500"/>
      <c r="I14" s="1364"/>
      <c r="J14" s="1364"/>
      <c r="K14" s="1364"/>
      <c r="L14" s="1499"/>
      <c r="M14" s="1499"/>
    </row>
    <row r="15" spans="1:14" s="1366" customFormat="1" ht="19.899999999999999" customHeight="1">
      <c r="A15" s="1362"/>
      <c r="B15" s="1372" t="s">
        <v>1002</v>
      </c>
      <c r="C15" s="1364"/>
      <c r="D15" s="1476"/>
      <c r="E15" s="1476"/>
      <c r="F15" s="1494"/>
      <c r="G15" s="1500"/>
      <c r="H15" s="1500"/>
      <c r="I15" s="1364"/>
      <c r="J15" s="1364"/>
      <c r="K15" s="1364"/>
      <c r="L15" s="1499"/>
      <c r="M15" s="1499"/>
    </row>
    <row r="16" spans="1:14" s="1497" customFormat="1" ht="19.899999999999999" customHeight="1">
      <c r="A16" s="1362" t="s">
        <v>71</v>
      </c>
      <c r="B16" s="1372" t="s">
        <v>272</v>
      </c>
      <c r="C16" s="1476">
        <f t="shared" si="0"/>
        <v>0</v>
      </c>
      <c r="D16" s="1476"/>
      <c r="E16" s="1476"/>
      <c r="F16" s="1494"/>
      <c r="G16" s="1501"/>
      <c r="H16" s="1501"/>
      <c r="I16" s="1364"/>
      <c r="J16" s="1364"/>
      <c r="K16" s="1476"/>
      <c r="L16" s="1502"/>
      <c r="M16" s="1502"/>
    </row>
    <row r="17" spans="1:14" s="1497" customFormat="1" ht="19.899999999999999" customHeight="1">
      <c r="A17" s="1362" t="s">
        <v>71</v>
      </c>
      <c r="B17" s="1372" t="s">
        <v>1005</v>
      </c>
      <c r="C17" s="1476">
        <f t="shared" si="0"/>
        <v>0</v>
      </c>
      <c r="D17" s="1476"/>
      <c r="E17" s="1476"/>
      <c r="F17" s="1494"/>
      <c r="G17" s="1501"/>
      <c r="H17" s="1501"/>
      <c r="I17" s="1364"/>
      <c r="J17" s="1364"/>
      <c r="K17" s="1476"/>
      <c r="L17" s="1502"/>
      <c r="M17" s="1502"/>
    </row>
    <row r="18" spans="1:14" s="1366" customFormat="1" ht="57.75" customHeight="1">
      <c r="A18" s="1362">
        <v>2</v>
      </c>
      <c r="B18" s="1363" t="s">
        <v>271</v>
      </c>
      <c r="C18" s="1364">
        <f t="shared" si="0"/>
        <v>0</v>
      </c>
      <c r="D18" s="1364"/>
      <c r="E18" s="1364"/>
      <c r="F18" s="1365">
        <f t="shared" si="3"/>
        <v>0</v>
      </c>
      <c r="G18" s="1365"/>
      <c r="H18" s="1365"/>
      <c r="I18" s="1364"/>
      <c r="J18" s="1364"/>
      <c r="K18" s="1364"/>
    </row>
    <row r="19" spans="1:14" s="1366" customFormat="1" ht="21" customHeight="1">
      <c r="A19" s="1362">
        <v>3</v>
      </c>
      <c r="B19" s="1367" t="s">
        <v>73</v>
      </c>
      <c r="C19" s="1364">
        <f t="shared" si="0"/>
        <v>0</v>
      </c>
      <c r="D19" s="1368"/>
      <c r="E19" s="1364"/>
      <c r="F19" s="1365"/>
      <c r="G19" s="1498"/>
      <c r="H19" s="1365"/>
      <c r="I19" s="1364"/>
      <c r="J19" s="1364"/>
      <c r="K19" s="1364"/>
    </row>
    <row r="20" spans="1:14" s="1381" customFormat="1" ht="21" customHeight="1">
      <c r="A20" s="1369" t="s">
        <v>139</v>
      </c>
      <c r="B20" s="1370" t="s">
        <v>446</v>
      </c>
      <c r="C20" s="1371">
        <f>D20+E20</f>
        <v>61745</v>
      </c>
      <c r="D20" s="1371">
        <v>0</v>
      </c>
      <c r="E20" s="1371">
        <v>61745</v>
      </c>
      <c r="F20" s="1380">
        <f>+'CTMT, NV.PB01'!H204</f>
        <v>50479.339761000003</v>
      </c>
      <c r="G20" s="1380"/>
      <c r="H20" s="1380">
        <f>+'CTMT, NV.PB01'!P204+'CTMT, NV.PB01'!P191</f>
        <v>52042.801893000003</v>
      </c>
      <c r="I20" s="1371">
        <f>F20/C20*100</f>
        <v>81.754538441979108</v>
      </c>
      <c r="J20" s="1371"/>
      <c r="K20" s="1371">
        <f>H20/E20*100</f>
        <v>84.286665953518508</v>
      </c>
      <c r="L20" s="1505">
        <v>1331.4599059999964</v>
      </c>
      <c r="M20" s="1381" t="s">
        <v>1217</v>
      </c>
    </row>
    <row r="21" spans="1:14" s="1366" customFormat="1" ht="21" customHeight="1">
      <c r="A21" s="1362"/>
      <c r="B21" s="1372" t="s">
        <v>233</v>
      </c>
      <c r="C21" s="1364">
        <f t="shared" si="0"/>
        <v>0</v>
      </c>
      <c r="D21" s="1364"/>
      <c r="E21" s="1364"/>
      <c r="F21" s="1365"/>
      <c r="G21" s="1365"/>
      <c r="H21" s="1365"/>
      <c r="I21" s="1371"/>
      <c r="J21" s="1371"/>
      <c r="K21" s="1371"/>
      <c r="L21" s="1506"/>
    </row>
    <row r="22" spans="1:14" s="1366" customFormat="1" ht="21" customHeight="1">
      <c r="A22" s="1362">
        <v>1</v>
      </c>
      <c r="B22" s="1372" t="s">
        <v>221</v>
      </c>
      <c r="C22" s="1364">
        <f t="shared" si="0"/>
        <v>36074</v>
      </c>
      <c r="D22" s="1364">
        <v>0</v>
      </c>
      <c r="E22" s="1364">
        <v>36074</v>
      </c>
      <c r="F22" s="1365">
        <f>G22+H22</f>
        <v>30237.399847000004</v>
      </c>
      <c r="G22" s="1365">
        <v>0</v>
      </c>
      <c r="H22" s="1365">
        <f>36826.318904-(H50+H51+H52+H53+H54+H55+H57+H58)-L20</f>
        <v>30237.399847000004</v>
      </c>
      <c r="I22" s="1364">
        <f t="shared" ref="I22" si="4">F22/C22*100</f>
        <v>83.820479700061</v>
      </c>
      <c r="J22" s="1364"/>
      <c r="K22" s="1364">
        <f>H22/E22*100</f>
        <v>83.820479700061</v>
      </c>
      <c r="L22" s="1507"/>
    </row>
    <row r="23" spans="1:14" s="757" customFormat="1" ht="18" customHeight="1">
      <c r="A23" s="1362">
        <v>2</v>
      </c>
      <c r="B23" s="1372" t="s">
        <v>273</v>
      </c>
      <c r="C23" s="1364">
        <f>SUM(D23:E23)</f>
        <v>0</v>
      </c>
      <c r="D23" s="1364"/>
      <c r="E23" s="1364">
        <v>0</v>
      </c>
      <c r="F23" s="1364">
        <f t="shared" ref="F23" si="5">SUM(G23:H23)</f>
        <v>0</v>
      </c>
      <c r="G23" s="1364"/>
      <c r="H23" s="1364"/>
      <c r="I23" s="1364"/>
      <c r="J23" s="1364"/>
      <c r="K23" s="1364"/>
      <c r="L23" s="1365"/>
    </row>
    <row r="24" spans="1:14" s="1515" customFormat="1" ht="33.75" customHeight="1">
      <c r="A24" s="1508" t="s">
        <v>62</v>
      </c>
      <c r="B24" s="1509" t="s">
        <v>471</v>
      </c>
      <c r="C24" s="1510">
        <f>SUM(D24:E24)</f>
        <v>0</v>
      </c>
      <c r="D24" s="1510"/>
      <c r="E24" s="1510"/>
      <c r="F24" s="1511"/>
      <c r="G24" s="1511"/>
      <c r="H24" s="1511"/>
      <c r="I24" s="1512"/>
      <c r="J24" s="1512"/>
      <c r="K24" s="1513"/>
      <c r="L24" s="1514"/>
    </row>
    <row r="25" spans="1:14" s="1379" customFormat="1" ht="18" customHeight="1">
      <c r="A25" s="1373" t="s">
        <v>63</v>
      </c>
      <c r="B25" s="1374" t="s">
        <v>78</v>
      </c>
      <c r="C25" s="1375">
        <f>SUM(D25:E25)</f>
        <v>0</v>
      </c>
      <c r="D25" s="1375"/>
      <c r="E25" s="1375"/>
      <c r="F25" s="1376"/>
      <c r="G25" s="1376"/>
      <c r="H25" s="1376"/>
      <c r="I25" s="1377"/>
      <c r="J25" s="1377"/>
      <c r="K25" s="1378"/>
      <c r="L25" s="1504"/>
    </row>
    <row r="26" spans="1:14" s="1381" customFormat="1" ht="21" customHeight="1">
      <c r="A26" s="1369" t="s">
        <v>67</v>
      </c>
      <c r="B26" s="1370" t="s">
        <v>376</v>
      </c>
      <c r="C26" s="1371">
        <f>D26+E26</f>
        <v>1150</v>
      </c>
      <c r="D26" s="1371">
        <v>0</v>
      </c>
      <c r="E26" s="1371">
        <v>1150</v>
      </c>
      <c r="F26" s="1380">
        <f>G26+H26</f>
        <v>1106.6088199999999</v>
      </c>
      <c r="G26" s="1380"/>
      <c r="H26" s="1380">
        <v>1106.6088199999999</v>
      </c>
      <c r="I26" s="1371">
        <f>F26/C26*100</f>
        <v>96.22685391304347</v>
      </c>
      <c r="J26" s="1371"/>
      <c r="K26" s="1371">
        <f>H26/E26*100</f>
        <v>96.22685391304347</v>
      </c>
    </row>
    <row r="27" spans="1:14" s="1381" customFormat="1" ht="21" customHeight="1">
      <c r="A27" s="1369" t="s">
        <v>234</v>
      </c>
      <c r="B27" s="1370" t="s">
        <v>472</v>
      </c>
      <c r="C27" s="1371">
        <f t="shared" si="0"/>
        <v>0</v>
      </c>
      <c r="D27" s="1371"/>
      <c r="E27" s="1371"/>
      <c r="F27" s="1380">
        <f>G27+H27</f>
        <v>0</v>
      </c>
      <c r="G27" s="1380"/>
      <c r="H27" s="1380"/>
      <c r="I27" s="1371"/>
      <c r="J27" s="1371"/>
      <c r="K27" s="1371"/>
    </row>
    <row r="28" spans="1:14" s="1381" customFormat="1" ht="21" customHeight="1">
      <c r="A28" s="1369" t="s">
        <v>346</v>
      </c>
      <c r="B28" s="1370" t="s">
        <v>329</v>
      </c>
      <c r="C28" s="1371">
        <f t="shared" si="0"/>
        <v>0</v>
      </c>
      <c r="D28" s="1371"/>
      <c r="E28" s="1371"/>
      <c r="F28" s="1380">
        <f>G28+H28</f>
        <v>180.12299999999999</v>
      </c>
      <c r="G28" s="1380">
        <v>0</v>
      </c>
      <c r="H28" s="1380">
        <v>180.12299999999999</v>
      </c>
      <c r="I28" s="1371"/>
      <c r="J28" s="1371"/>
      <c r="K28" s="1371"/>
    </row>
    <row r="29" spans="1:14" s="1381" customFormat="1" ht="21" customHeight="1">
      <c r="A29" s="1369" t="s">
        <v>295</v>
      </c>
      <c r="B29" s="1370" t="s">
        <v>220</v>
      </c>
      <c r="C29" s="1493">
        <f>C30+C40+C44</f>
        <v>13465</v>
      </c>
      <c r="D29" s="1493">
        <f t="shared" ref="D29:G29" si="6">D30+D40+D44</f>
        <v>0</v>
      </c>
      <c r="E29" s="1493">
        <f t="shared" si="6"/>
        <v>13465</v>
      </c>
      <c r="F29" s="1380">
        <f t="shared" si="6"/>
        <v>39186.479914000003</v>
      </c>
      <c r="G29" s="1380">
        <f t="shared" si="6"/>
        <v>0</v>
      </c>
      <c r="H29" s="1380">
        <f>H30+H40+H44</f>
        <v>39186.479914000003</v>
      </c>
      <c r="I29" s="1371">
        <f>F29/C29*100</f>
        <v>291.02473014481996</v>
      </c>
      <c r="J29" s="1371"/>
      <c r="K29" s="1371">
        <f>H29/E29*100</f>
        <v>291.02473014481996</v>
      </c>
      <c r="L29" s="1495"/>
      <c r="M29" s="1495"/>
    </row>
    <row r="30" spans="1:14" s="1381" customFormat="1" ht="21" customHeight="1">
      <c r="A30" s="1369" t="s">
        <v>296</v>
      </c>
      <c r="B30" s="1370" t="s">
        <v>474</v>
      </c>
      <c r="C30" s="1371">
        <f>D30+E30</f>
        <v>13143</v>
      </c>
      <c r="D30" s="1371">
        <f>D31+D34+D37</f>
        <v>0</v>
      </c>
      <c r="E30" s="1371">
        <f>E31+E34+E37</f>
        <v>13143</v>
      </c>
      <c r="F30" s="1380">
        <f>F31+F34+F37</f>
        <v>19260.136055000003</v>
      </c>
      <c r="G30" s="1380">
        <f>G31+G34+G37</f>
        <v>0</v>
      </c>
      <c r="H30" s="1380">
        <f>H31+H34+H37</f>
        <v>19260.136055000003</v>
      </c>
      <c r="I30" s="1371">
        <f t="shared" ref="I30:I31" si="7">F30/C30*100</f>
        <v>146.54292060412388</v>
      </c>
      <c r="J30" s="1371"/>
      <c r="K30" s="1371">
        <f t="shared" ref="K30:K31" si="8">H30/E30*100</f>
        <v>146.54292060412388</v>
      </c>
      <c r="L30" s="1490"/>
      <c r="M30" s="1490"/>
      <c r="N30" s="1490"/>
    </row>
    <row r="31" spans="1:14" s="1381" customFormat="1" ht="34.5" customHeight="1">
      <c r="A31" s="1369">
        <v>1</v>
      </c>
      <c r="B31" s="1477" t="s">
        <v>549</v>
      </c>
      <c r="C31" s="1371">
        <f>D31+E31</f>
        <v>1740</v>
      </c>
      <c r="D31" s="1371">
        <f>D32+D33</f>
        <v>0</v>
      </c>
      <c r="E31" s="1371">
        <f>E32+E33</f>
        <v>1740</v>
      </c>
      <c r="F31" s="1380">
        <f>+G31+H31</f>
        <v>2366.0945079999997</v>
      </c>
      <c r="G31" s="1380">
        <f>G32+G33</f>
        <v>0</v>
      </c>
      <c r="H31" s="1380">
        <f>H32+H33</f>
        <v>2366.0945079999997</v>
      </c>
      <c r="I31" s="1371">
        <f t="shared" si="7"/>
        <v>135.98244298850574</v>
      </c>
      <c r="J31" s="1371"/>
      <c r="K31" s="1371">
        <f t="shared" si="8"/>
        <v>135.98244298850574</v>
      </c>
      <c r="L31" s="1495"/>
    </row>
    <row r="32" spans="1:14" s="1497" customFormat="1" ht="16.5" customHeight="1">
      <c r="A32" s="1478"/>
      <c r="B32" s="1479" t="s">
        <v>59</v>
      </c>
      <c r="C32" s="1476">
        <f>D32+E32</f>
        <v>0</v>
      </c>
      <c r="D32" s="1476"/>
      <c r="E32" s="1476"/>
      <c r="F32" s="1494">
        <f>G32+H32</f>
        <v>0</v>
      </c>
      <c r="G32" s="1494">
        <f>H32+I32</f>
        <v>0</v>
      </c>
      <c r="H32" s="1494"/>
      <c r="I32" s="1476"/>
      <c r="J32" s="1476"/>
      <c r="K32" s="1476"/>
      <c r="L32" s="1496"/>
      <c r="M32" s="1496"/>
    </row>
    <row r="33" spans="1:14" s="1497" customFormat="1" ht="16.5" customHeight="1">
      <c r="A33" s="1478"/>
      <c r="B33" s="1479" t="s">
        <v>107</v>
      </c>
      <c r="C33" s="1476">
        <f>D33+E33</f>
        <v>1740</v>
      </c>
      <c r="D33" s="1476"/>
      <c r="E33" s="1476">
        <f>+'CTMT, NV.PB01'!H13</f>
        <v>1740</v>
      </c>
      <c r="F33" s="1494">
        <f>G33+H33</f>
        <v>2366.0945079999997</v>
      </c>
      <c r="G33" s="1494">
        <f>+'CTMT, NV.PB01'!T13/1000000</f>
        <v>0</v>
      </c>
      <c r="H33" s="1494">
        <f>+'CTMT, NV.PB01'!P13</f>
        <v>2366.0945079999997</v>
      </c>
      <c r="I33" s="1476">
        <f t="shared" ref="I33" si="9">F33/C33*100</f>
        <v>135.98244298850574</v>
      </c>
      <c r="J33" s="1476"/>
      <c r="K33" s="1476">
        <f t="shared" ref="K33" si="10">H33/E33*100</f>
        <v>135.98244298850574</v>
      </c>
      <c r="L33" s="1496"/>
    </row>
    <row r="34" spans="1:14" s="1381" customFormat="1" ht="33.75" customHeight="1">
      <c r="A34" s="1369">
        <v>2</v>
      </c>
      <c r="B34" s="1477" t="s">
        <v>612</v>
      </c>
      <c r="C34" s="1371">
        <f t="shared" si="0"/>
        <v>1185</v>
      </c>
      <c r="D34" s="1371">
        <f>SUM(D35:D36)</f>
        <v>0</v>
      </c>
      <c r="E34" s="1371">
        <f>SUM(E35:E36)</f>
        <v>1185</v>
      </c>
      <c r="F34" s="1380">
        <f>SUM(F35:F36)</f>
        <v>2599.34</v>
      </c>
      <c r="G34" s="1380">
        <f>SUM(G35:G36)</f>
        <v>0</v>
      </c>
      <c r="H34" s="1380">
        <f>SUM(H35:H36)</f>
        <v>2599.34</v>
      </c>
      <c r="I34" s="1371">
        <f t="shared" ref="I34:I42" si="11">F34/C34*100</f>
        <v>219.35358649789029</v>
      </c>
      <c r="J34" s="1371"/>
      <c r="K34" s="1371">
        <f t="shared" ref="K34:K41" si="12">H34/E34*100</f>
        <v>219.35358649789029</v>
      </c>
    </row>
    <row r="35" spans="1:14" s="1497" customFormat="1" ht="15" customHeight="1">
      <c r="A35" s="1478"/>
      <c r="B35" s="1479" t="s">
        <v>59</v>
      </c>
      <c r="C35" s="1364">
        <f>D35+E35</f>
        <v>999</v>
      </c>
      <c r="D35" s="1476"/>
      <c r="E35" s="1476">
        <f>+'CTMT, NV.PB01'!J46</f>
        <v>999</v>
      </c>
      <c r="F35" s="1494">
        <f>G35+H35</f>
        <v>2113.34</v>
      </c>
      <c r="G35" s="1494">
        <f>+'CTMT, NV.PB01'!T71/1000000</f>
        <v>0</v>
      </c>
      <c r="H35" s="1494">
        <f>+'CTMT, NV.PB01'!P43</f>
        <v>2113.34</v>
      </c>
      <c r="I35" s="1476">
        <f t="shared" si="11"/>
        <v>211.54554554554554</v>
      </c>
      <c r="J35" s="1476"/>
      <c r="K35" s="1476">
        <f t="shared" si="12"/>
        <v>211.54554554554554</v>
      </c>
    </row>
    <row r="36" spans="1:14" s="1497" customFormat="1" ht="15" customHeight="1">
      <c r="A36" s="1478"/>
      <c r="B36" s="1479" t="s">
        <v>107</v>
      </c>
      <c r="C36" s="1364">
        <f t="shared" si="0"/>
        <v>186</v>
      </c>
      <c r="D36" s="1476"/>
      <c r="E36" s="1476">
        <f>+'CTMT, NV.PB01'!J52</f>
        <v>186</v>
      </c>
      <c r="F36" s="1494">
        <f>G36+H36</f>
        <v>486</v>
      </c>
      <c r="G36" s="1494">
        <f>+'CTMT, NV.PB01'!T76/1000000</f>
        <v>0</v>
      </c>
      <c r="H36" s="1494">
        <f>+'CTMT, NV.PB01'!P52</f>
        <v>486</v>
      </c>
      <c r="I36" s="1476">
        <f t="shared" si="11"/>
        <v>261.29032258064512</v>
      </c>
      <c r="J36" s="1476"/>
      <c r="K36" s="1476">
        <f t="shared" si="12"/>
        <v>261.29032258064512</v>
      </c>
    </row>
    <row r="37" spans="1:14" s="1381" customFormat="1" ht="27.75" customHeight="1">
      <c r="A37" s="1369">
        <v>3</v>
      </c>
      <c r="B37" s="1477" t="s">
        <v>609</v>
      </c>
      <c r="C37" s="1371">
        <f>D37+E37</f>
        <v>10218</v>
      </c>
      <c r="D37" s="1371">
        <f>SUM(D38:D39)</f>
        <v>0</v>
      </c>
      <c r="E37" s="1371">
        <f>SUM(E38:E39)</f>
        <v>10218</v>
      </c>
      <c r="F37" s="1380">
        <f>SUM(F38:F39)</f>
        <v>14294.701547000001</v>
      </c>
      <c r="G37" s="1380">
        <f>SUM(G38:G39)</f>
        <v>0</v>
      </c>
      <c r="H37" s="1380">
        <f>SUM(H38:H39)</f>
        <v>14294.701547000001</v>
      </c>
      <c r="I37" s="1371">
        <f t="shared" si="11"/>
        <v>139.89725530436485</v>
      </c>
      <c r="J37" s="1371"/>
      <c r="K37" s="1371">
        <f t="shared" si="12"/>
        <v>139.89725530436485</v>
      </c>
    </row>
    <row r="38" spans="1:14" s="1497" customFormat="1" ht="21" customHeight="1">
      <c r="A38" s="1478"/>
      <c r="B38" s="1479" t="s">
        <v>59</v>
      </c>
      <c r="C38" s="1364">
        <f>D38+E38</f>
        <v>5703</v>
      </c>
      <c r="D38" s="1476"/>
      <c r="E38" s="1476">
        <f>+'CTMT, NV.PB01'!J74</f>
        <v>5703</v>
      </c>
      <c r="F38" s="1494">
        <f>G38+H38</f>
        <v>7157.0179039999994</v>
      </c>
      <c r="G38" s="1494">
        <f>+'CTMT, NV.PB01'!T99/1000000</f>
        <v>0</v>
      </c>
      <c r="H38" s="1494">
        <f>+'CTMT, NV.PB01'!P74</f>
        <v>7157.0179039999994</v>
      </c>
      <c r="I38" s="1476">
        <f>F38/C38*100</f>
        <v>125.49566726284411</v>
      </c>
      <c r="J38" s="1476"/>
      <c r="K38" s="1476">
        <f t="shared" si="12"/>
        <v>125.49566726284411</v>
      </c>
    </row>
    <row r="39" spans="1:14" s="1497" customFormat="1" ht="21" customHeight="1">
      <c r="A39" s="1478"/>
      <c r="B39" s="1479" t="s">
        <v>107</v>
      </c>
      <c r="C39" s="1364">
        <f>D39+E39</f>
        <v>4515</v>
      </c>
      <c r="D39" s="1476"/>
      <c r="E39" s="1476">
        <f>+'CTMT, NV.PB01'!H89</f>
        <v>4515</v>
      </c>
      <c r="F39" s="1494">
        <f>G39+H39</f>
        <v>7137.6836430000003</v>
      </c>
      <c r="G39" s="1494">
        <f>+'CTMT, NV.PB01'!T114/1000000</f>
        <v>0</v>
      </c>
      <c r="H39" s="1494">
        <f>+'CTMT, NV.PB01'!P89</f>
        <v>7137.6836430000003</v>
      </c>
      <c r="I39" s="1476">
        <f t="shared" si="11"/>
        <v>158.08823129568108</v>
      </c>
      <c r="J39" s="1476"/>
      <c r="K39" s="1476">
        <f t="shared" si="12"/>
        <v>158.08823129568108</v>
      </c>
    </row>
    <row r="40" spans="1:14" s="1381" customFormat="1" ht="21" customHeight="1">
      <c r="A40" s="1369" t="s">
        <v>139</v>
      </c>
      <c r="B40" s="1370" t="s">
        <v>473</v>
      </c>
      <c r="C40" s="1371">
        <f>C41</f>
        <v>322</v>
      </c>
      <c r="D40" s="1371">
        <f t="shared" ref="D40:E40" si="13">D41</f>
        <v>0</v>
      </c>
      <c r="E40" s="1371">
        <f t="shared" si="13"/>
        <v>322</v>
      </c>
      <c r="F40" s="1380">
        <f t="shared" ref="F40" si="14">F41</f>
        <v>195.41669999999999</v>
      </c>
      <c r="G40" s="1380">
        <f t="shared" ref="G40" si="15">G41</f>
        <v>0</v>
      </c>
      <c r="H40" s="1380">
        <f t="shared" ref="H40" si="16">H41</f>
        <v>195.41669999999999</v>
      </c>
      <c r="I40" s="1371">
        <f t="shared" si="11"/>
        <v>60.688416149068324</v>
      </c>
      <c r="J40" s="1371"/>
      <c r="K40" s="1371">
        <f t="shared" si="12"/>
        <v>60.688416149068324</v>
      </c>
      <c r="L40" s="1490"/>
      <c r="M40" s="1490"/>
      <c r="N40" s="1490"/>
    </row>
    <row r="41" spans="1:14" s="1366" customFormat="1" ht="43.5" customHeight="1">
      <c r="A41" s="1362">
        <v>1</v>
      </c>
      <c r="B41" s="1363" t="s">
        <v>1006</v>
      </c>
      <c r="C41" s="1364">
        <f t="shared" ref="C41:H41" si="17">SUM(C42:C43)</f>
        <v>322</v>
      </c>
      <c r="D41" s="1364">
        <f>SUM(D42:D43)</f>
        <v>0</v>
      </c>
      <c r="E41" s="1364">
        <f t="shared" si="17"/>
        <v>322</v>
      </c>
      <c r="F41" s="1365">
        <f t="shared" si="17"/>
        <v>195.41669999999999</v>
      </c>
      <c r="G41" s="1365">
        <f t="shared" si="17"/>
        <v>0</v>
      </c>
      <c r="H41" s="1365">
        <f t="shared" si="17"/>
        <v>195.41669999999999</v>
      </c>
      <c r="I41" s="1476">
        <f t="shared" si="11"/>
        <v>60.688416149068324</v>
      </c>
      <c r="J41" s="1476"/>
      <c r="K41" s="1476">
        <f t="shared" si="12"/>
        <v>60.688416149068324</v>
      </c>
    </row>
    <row r="42" spans="1:14" s="1366" customFormat="1" ht="18" customHeight="1">
      <c r="A42" s="1362"/>
      <c r="B42" s="1479" t="s">
        <v>611</v>
      </c>
      <c r="C42" s="1364">
        <f t="shared" si="0"/>
        <v>322</v>
      </c>
      <c r="D42" s="1364"/>
      <c r="E42" s="1364">
        <v>322</v>
      </c>
      <c r="F42" s="1365">
        <f>SUM(G42:H42)</f>
        <v>195.41669999999999</v>
      </c>
      <c r="G42" s="1365"/>
      <c r="H42" s="1365">
        <v>195.41669999999999</v>
      </c>
      <c r="I42" s="1476">
        <f t="shared" si="11"/>
        <v>60.688416149068324</v>
      </c>
      <c r="J42" s="1476"/>
      <c r="K42" s="1476">
        <f>H42/E42*100</f>
        <v>60.688416149068324</v>
      </c>
    </row>
    <row r="43" spans="1:14" s="1366" customFormat="1" ht="18" customHeight="1">
      <c r="A43" s="1362"/>
      <c r="B43" s="1479" t="s">
        <v>610</v>
      </c>
      <c r="C43" s="1364"/>
      <c r="D43" s="1364"/>
      <c r="E43" s="1364"/>
      <c r="F43" s="1365">
        <f>SUM(G43:H43)</f>
        <v>0</v>
      </c>
      <c r="G43" s="1365"/>
      <c r="H43" s="1365"/>
      <c r="I43" s="1476"/>
      <c r="J43" s="1476"/>
      <c r="K43" s="1476"/>
    </row>
    <row r="44" spans="1:14" s="1381" customFormat="1" ht="21" customHeight="1">
      <c r="A44" s="1369" t="s">
        <v>62</v>
      </c>
      <c r="B44" s="1370" t="s">
        <v>503</v>
      </c>
      <c r="C44" s="1371"/>
      <c r="D44" s="1371"/>
      <c r="E44" s="1371">
        <f t="shared" ref="E44:H44" si="18">+E45</f>
        <v>0</v>
      </c>
      <c r="F44" s="1492">
        <f t="shared" si="18"/>
        <v>19730.927158999999</v>
      </c>
      <c r="G44" s="1492">
        <f t="shared" si="18"/>
        <v>0</v>
      </c>
      <c r="H44" s="1492">
        <f t="shared" si="18"/>
        <v>19730.927158999999</v>
      </c>
      <c r="I44" s="1371"/>
      <c r="J44" s="1371"/>
      <c r="K44" s="1371"/>
      <c r="L44" s="1490"/>
      <c r="M44" s="1490"/>
      <c r="N44" s="1490"/>
    </row>
    <row r="45" spans="1:14" s="1381" customFormat="1" ht="21" customHeight="1">
      <c r="A45" s="1369" t="s">
        <v>108</v>
      </c>
      <c r="B45" s="1370" t="s">
        <v>107</v>
      </c>
      <c r="C45" s="1371"/>
      <c r="D45" s="1371"/>
      <c r="E45" s="1371">
        <f>SUM(E46:E73)</f>
        <v>0</v>
      </c>
      <c r="F45" s="1489">
        <f>SUM(F46:F73)</f>
        <v>19730.927158999999</v>
      </c>
      <c r="G45" s="1489">
        <f>SUM(G46:G73)</f>
        <v>0</v>
      </c>
      <c r="H45" s="1489">
        <f>SUM(H46:H73)</f>
        <v>19730.927158999999</v>
      </c>
      <c r="I45" s="1371"/>
      <c r="J45" s="1371"/>
      <c r="K45" s="1364"/>
      <c r="L45" s="1490"/>
      <c r="M45" s="1490"/>
      <c r="N45" s="1490"/>
    </row>
    <row r="46" spans="1:14" s="1366" customFormat="1" ht="25.5">
      <c r="A46" s="1363">
        <v>1</v>
      </c>
      <c r="B46" s="1363" t="str">
        <f>+'CTMT, NV.PB01'!B158</f>
        <v xml:space="preserve">Hỗ trợ tiền sử dụng sản phẩm, dịch vụ công ích thủy lợi năm 2025 </v>
      </c>
      <c r="C46" s="1491">
        <f>D46+E46</f>
        <v>0</v>
      </c>
      <c r="D46" s="1364"/>
      <c r="E46" s="1364"/>
      <c r="F46" s="1365">
        <f t="shared" ref="F46:F73" si="19">SUM(G46:H46)</f>
        <v>76.145248000000009</v>
      </c>
      <c r="G46" s="1365"/>
      <c r="H46" s="1365">
        <f>+'CTMT, NV.PB01'!P158</f>
        <v>76.145248000000009</v>
      </c>
      <c r="I46" s="1364"/>
      <c r="J46" s="1364"/>
      <c r="K46" s="1364"/>
      <c r="L46" s="1490"/>
      <c r="M46" s="1490"/>
    </row>
    <row r="47" spans="1:14" s="1366" customFormat="1" ht="51">
      <c r="A47" s="1363">
        <v>2</v>
      </c>
      <c r="B47" s="1363" t="str">
        <f>+'CTMT, NV.PB01'!B159</f>
        <v xml:space="preserve">Kinh phí bảo trợ xã hội NĐ 20/2021/NĐ-CP; Chính sách hỗ trợ đối tượng bảo trợ xã hội theo quy định tại Nghị quyết số 20/2022/NQ-HĐND </v>
      </c>
      <c r="C47" s="1491">
        <f t="shared" ref="C47:C60" si="20">D47+E47</f>
        <v>0</v>
      </c>
      <c r="D47" s="1364"/>
      <c r="E47" s="1364"/>
      <c r="F47" s="1365">
        <f t="shared" si="19"/>
        <v>1901.25</v>
      </c>
      <c r="G47" s="1365"/>
      <c r="H47" s="1365">
        <f>+'CTMT, NV.PB01'!P159</f>
        <v>1901.25</v>
      </c>
      <c r="I47" s="1364"/>
      <c r="J47" s="1364"/>
      <c r="K47" s="1364"/>
      <c r="L47" s="1490"/>
      <c r="M47" s="1490"/>
    </row>
    <row r="48" spans="1:14" s="1366" customFormat="1" ht="25.5">
      <c r="A48" s="1363">
        <v>3</v>
      </c>
      <c r="B48" s="1363" t="str">
        <f>+'CTMT, NV.PB01'!B160</f>
        <v>Chính sách hỗ trợ tiền điện hộ nghèo, hộ chính sách</v>
      </c>
      <c r="C48" s="1491">
        <f t="shared" si="20"/>
        <v>0</v>
      </c>
      <c r="D48" s="1364"/>
      <c r="E48" s="1364"/>
      <c r="F48" s="1365">
        <f t="shared" si="19"/>
        <v>273.33179999999999</v>
      </c>
      <c r="G48" s="1365"/>
      <c r="H48" s="1365">
        <f>+'CTMT, NV.PB01'!P160</f>
        <v>273.33179999999999</v>
      </c>
      <c r="I48" s="1364"/>
      <c r="J48" s="1364"/>
      <c r="K48" s="1364"/>
      <c r="L48" s="1490"/>
      <c r="M48" s="1490"/>
    </row>
    <row r="49" spans="1:13" s="1366" customFormat="1" ht="51">
      <c r="A49" s="1363">
        <v>4</v>
      </c>
      <c r="B49" s="1363" t="str">
        <f>+'CTMT, NV.PB01'!B161</f>
        <v>Kinh phí mua BHYT cho đối tượng BTXH, Kinh phí mua BHYT cho cựu chiến binh, thanh niên xung phong, đối tượng tham gia kháng chiến Lào, Campuchia</v>
      </c>
      <c r="C49" s="1491">
        <f t="shared" si="20"/>
        <v>0</v>
      </c>
      <c r="D49" s="1364"/>
      <c r="E49" s="1364"/>
      <c r="F49" s="1365">
        <f t="shared" si="19"/>
        <v>95.296499999999995</v>
      </c>
      <c r="G49" s="1365"/>
      <c r="H49" s="1365">
        <f>+'CTMT, NV.PB01'!P161</f>
        <v>95.296499999999995</v>
      </c>
      <c r="I49" s="1364"/>
      <c r="J49" s="1364"/>
      <c r="K49" s="1364"/>
      <c r="L49" s="1490"/>
      <c r="M49" s="1490"/>
    </row>
    <row r="50" spans="1:13" s="1366" customFormat="1" ht="102">
      <c r="A50" s="1363">
        <v>5</v>
      </c>
      <c r="B50" s="1363" t="str">
        <f>+'CTMT, NV.PB01'!B162</f>
        <v>Chính sách hỗ trợ miễn giảm học phí, chi phí học tập cho học sinh, sinh viên thuộc hộ nghèo, hộ cận nghèo theo Nghị định số 81/2021/NĐ-CP; NĐ 238/2025/NĐ-CP (không bao gồm 143,0812 triệu đồng từ 40% trích cải cách tiền lương cấp bù học phí kỳ 2 năm học 2024-2025 và kỳ 1 năm học 2025-2026 giữ lại tại xã)</v>
      </c>
      <c r="C50" s="1491">
        <f t="shared" si="20"/>
        <v>0</v>
      </c>
      <c r="D50" s="1364"/>
      <c r="E50" s="1364"/>
      <c r="F50" s="1365">
        <f t="shared" si="19"/>
        <v>1242.5468000000001</v>
      </c>
      <c r="G50" s="1365"/>
      <c r="H50" s="1365">
        <f>+'CTMT, NV.PB01'!P162</f>
        <v>1242.5468000000001</v>
      </c>
      <c r="I50" s="1364"/>
      <c r="J50" s="1364"/>
      <c r="K50" s="1364"/>
      <c r="L50" s="1490"/>
      <c r="M50" s="1490"/>
    </row>
    <row r="51" spans="1:13" s="1366" customFormat="1" ht="25.5">
      <c r="A51" s="1363">
        <v>6</v>
      </c>
      <c r="B51" s="1363" t="str">
        <f>+'CTMT, NV.PB01'!B163</f>
        <v xml:space="preserve">Hỗ trợ tiền ăn, tiền ở và mua tủ thuốc dùng chung theo Nghị định số 116/2016/NĐ-CP; </v>
      </c>
      <c r="C51" s="1491">
        <f t="shared" si="20"/>
        <v>0</v>
      </c>
      <c r="D51" s="1364"/>
      <c r="E51" s="1364"/>
      <c r="F51" s="1365">
        <f t="shared" si="19"/>
        <v>2887.3566570000003</v>
      </c>
      <c r="G51" s="1365"/>
      <c r="H51" s="1365">
        <f>+'CTMT, NV.PB01'!P163</f>
        <v>2887.3566570000003</v>
      </c>
      <c r="I51" s="1364"/>
      <c r="J51" s="1364"/>
      <c r="K51" s="1364"/>
      <c r="L51" s="1490"/>
      <c r="M51" s="1490"/>
    </row>
    <row r="52" spans="1:13" s="1366" customFormat="1" ht="38.25">
      <c r="A52" s="1363">
        <v>7</v>
      </c>
      <c r="B52" s="1363" t="str">
        <f>+'CTMT, NV.PB01'!B164</f>
        <v>Chính sách phát triển mầm non (kinh phí hỗ trợ tiền ăn trưa trẻ em 3-5 tuổi, hỗ trợ giáo viên dạy lớp ghép, hỗ trợ kinh phí nấu ăn)</v>
      </c>
      <c r="C52" s="1491">
        <f t="shared" si="20"/>
        <v>0</v>
      </c>
      <c r="D52" s="1364"/>
      <c r="E52" s="1364"/>
      <c r="F52" s="1365">
        <f t="shared" si="19"/>
        <v>295.49</v>
      </c>
      <c r="G52" s="1365"/>
      <c r="H52" s="1365">
        <f>+'CTMT, NV.PB01'!P164</f>
        <v>295.49</v>
      </c>
      <c r="I52" s="1364"/>
      <c r="J52" s="1364"/>
      <c r="K52" s="1364"/>
      <c r="L52" s="1490"/>
      <c r="M52" s="1490"/>
    </row>
    <row r="53" spans="1:13" s="1366" customFormat="1" ht="38.25">
      <c r="A53" s="1363">
        <v>8</v>
      </c>
      <c r="B53" s="1363" t="str">
        <f>+'CTMT, NV.PB01'!B165</f>
        <v>Học bổng, chi phí học tập cho học sinh khuyết tật theo TTLT số 42/2013/TTLT-BGDĐT-BLĐTB&amp;XH</v>
      </c>
      <c r="C53" s="1491">
        <f t="shared" si="20"/>
        <v>0</v>
      </c>
      <c r="D53" s="1364"/>
      <c r="E53" s="1364"/>
      <c r="F53" s="1365">
        <f t="shared" si="19"/>
        <v>287.44</v>
      </c>
      <c r="G53" s="1365"/>
      <c r="H53" s="1365">
        <f>+'CTMT, NV.PB01'!P165</f>
        <v>287.44</v>
      </c>
      <c r="I53" s="1364"/>
      <c r="J53" s="1364"/>
      <c r="K53" s="1364"/>
      <c r="L53" s="1490"/>
      <c r="M53" s="1490"/>
    </row>
    <row r="54" spans="1:13" s="1381" customFormat="1" ht="25.5">
      <c r="A54" s="1363">
        <v>9</v>
      </c>
      <c r="B54" s="1363" t="str">
        <f>+'CTMT, NV.PB01'!B166</f>
        <v>Kinh phí thực hiện giáo viên dạy học sinh khuyết tật theo NĐ 28/2012/NĐ-CP</v>
      </c>
      <c r="C54" s="1491">
        <f t="shared" si="20"/>
        <v>0</v>
      </c>
      <c r="D54" s="1364"/>
      <c r="E54" s="1371"/>
      <c r="F54" s="1365">
        <f t="shared" si="19"/>
        <v>430.46739399999996</v>
      </c>
      <c r="G54" s="1365"/>
      <c r="H54" s="1365">
        <f>+'CTMT, NV.PB01'!P166</f>
        <v>430.46739399999996</v>
      </c>
      <c r="I54" s="1364"/>
      <c r="J54" s="1364"/>
      <c r="K54" s="1364"/>
      <c r="L54" s="1490"/>
      <c r="M54" s="1490"/>
    </row>
    <row r="55" spans="1:13" s="1366" customFormat="1" ht="51">
      <c r="A55" s="1363">
        <v>10</v>
      </c>
      <c r="B55" s="1363" t="str">
        <f>+'CTMT, NV.PB01'!B167</f>
        <v>Kinh phí thực hiện nhiệm vụ nấu ăn đối với cơ sở giáo dục mầm non công lập theo Nghị quyết số 16/2025/NQ-HĐND ngày 29/8/2025 của HĐND tỉnh Thái Nguyên</v>
      </c>
      <c r="C55" s="1491">
        <f t="shared" si="20"/>
        <v>0</v>
      </c>
      <c r="D55" s="1364"/>
      <c r="E55" s="1364"/>
      <c r="F55" s="1365">
        <f t="shared" si="19"/>
        <v>60</v>
      </c>
      <c r="G55" s="1365"/>
      <c r="H55" s="1365">
        <f>+'CTMT, NV.PB01'!P167</f>
        <v>60</v>
      </c>
      <c r="I55" s="1364"/>
      <c r="J55" s="1364"/>
      <c r="K55" s="1364"/>
      <c r="L55" s="1490"/>
      <c r="M55" s="1490"/>
    </row>
    <row r="56" spans="1:13" s="1366" customFormat="1" ht="38.25">
      <c r="A56" s="1363">
        <v>11</v>
      </c>
      <c r="B56" s="1363" t="str">
        <f>+'CTMT, NV.PB01'!B168</f>
        <v>Kinh phí tiền lương và các khoản phụ cấp của CBCC chuyển đến sau 1/7/2025 chưa được bố trí</v>
      </c>
      <c r="C56" s="1491">
        <f t="shared" si="20"/>
        <v>0</v>
      </c>
      <c r="D56" s="1364"/>
      <c r="E56" s="1364"/>
      <c r="F56" s="1365">
        <f t="shared" si="19"/>
        <v>27</v>
      </c>
      <c r="G56" s="1365"/>
      <c r="H56" s="1365">
        <f>+'CTMT, NV.PB01'!P168</f>
        <v>27</v>
      </c>
      <c r="I56" s="1364"/>
      <c r="J56" s="1364"/>
      <c r="K56" s="1364"/>
      <c r="L56" s="1490"/>
      <c r="M56" s="1490"/>
    </row>
    <row r="57" spans="1:13" s="1366" customFormat="1" ht="25.5">
      <c r="A57" s="1363">
        <v>12</v>
      </c>
      <c r="B57" s="1363" t="str">
        <f>+'CTMT, NV.PB01'!B169</f>
        <v>Kinh phí theo Nghị quyết số 54/2016/NQ-HĐND tỉnh Bắc Kạn</v>
      </c>
      <c r="C57" s="1491">
        <f t="shared" si="20"/>
        <v>0</v>
      </c>
      <c r="D57" s="1364"/>
      <c r="E57" s="1364"/>
      <c r="F57" s="1365">
        <f t="shared" si="19"/>
        <v>39.472799999999999</v>
      </c>
      <c r="G57" s="1365"/>
      <c r="H57" s="1365">
        <f>+'CTMT, NV.PB01'!P169</f>
        <v>39.472799999999999</v>
      </c>
      <c r="I57" s="1364"/>
      <c r="J57" s="1364"/>
      <c r="K57" s="1364"/>
      <c r="L57" s="1490"/>
      <c r="M57" s="1490"/>
    </row>
    <row r="58" spans="1:13" s="1366" customFormat="1" ht="38.25">
      <c r="A58" s="1363">
        <v>13</v>
      </c>
      <c r="B58" s="1363" t="str">
        <f>+'CTMT, NV.PB01'!B170</f>
        <v xml:space="preserve">Kinh phí thực hiện xây dựng xã hội học tập theo Nghị quyết số 19/2022/NQ-HĐND của HĐND tỉnh </v>
      </c>
      <c r="C58" s="1364">
        <f t="shared" si="20"/>
        <v>0</v>
      </c>
      <c r="D58" s="1364"/>
      <c r="E58" s="1364"/>
      <c r="F58" s="1365">
        <f t="shared" si="19"/>
        <v>14.685500000000001</v>
      </c>
      <c r="G58" s="1365"/>
      <c r="H58" s="1365">
        <f>+'CTMT, NV.PB01'!P170</f>
        <v>14.685500000000001</v>
      </c>
      <c r="I58" s="1364"/>
      <c r="J58" s="1364"/>
      <c r="K58" s="1364"/>
      <c r="L58" s="1490"/>
      <c r="M58" s="1490"/>
    </row>
    <row r="59" spans="1:13" s="1366" customFormat="1" ht="51">
      <c r="A59" s="1363">
        <v>14</v>
      </c>
      <c r="B59" s="1363" t="str">
        <f>+'CTMT, NV.PB01'!B171</f>
        <v>Kinh phí thực hiện chính sách, chế độ theo Nghị định số 178/2024/NĐ-CP ngày 31/12/2024 và Nghị định số 67/2025/NĐ-CP ngày 15/3/2025 của Chính phủ (đợt 3)</v>
      </c>
      <c r="C59" s="1364">
        <f t="shared" si="20"/>
        <v>0</v>
      </c>
      <c r="D59" s="1364"/>
      <c r="E59" s="1364"/>
      <c r="F59" s="1365">
        <f t="shared" si="19"/>
        <v>638.38099999999997</v>
      </c>
      <c r="G59" s="1365"/>
      <c r="H59" s="1365">
        <f>+'CTMT, NV.PB01'!P171</f>
        <v>638.38099999999997</v>
      </c>
      <c r="I59" s="1364"/>
      <c r="J59" s="1364"/>
      <c r="K59" s="1364"/>
      <c r="L59" s="1490"/>
      <c r="M59" s="1490"/>
    </row>
    <row r="60" spans="1:13" s="1366" customFormat="1" ht="51">
      <c r="A60" s="1363">
        <v>15</v>
      </c>
      <c r="B60" s="1363" t="str">
        <f>+'CTMT, NV.PB01'!B172</f>
        <v>Kinh phí thực hiện chính sách, chế độ theo Nghị định số 178/2024/NĐ-CP ngày 31/12/2024 và Nghị định số 67/2025/NĐ-CP ngày 15/3/2025 của Chính phủ (đợt 5)</v>
      </c>
      <c r="C60" s="1364">
        <f t="shared" si="20"/>
        <v>0</v>
      </c>
      <c r="D60" s="1364"/>
      <c r="E60" s="1364"/>
      <c r="F60" s="1365">
        <f t="shared" si="19"/>
        <v>2234.5555049999998</v>
      </c>
      <c r="G60" s="1365"/>
      <c r="H60" s="1365">
        <f>+'CTMT, NV.PB01'!P172</f>
        <v>2234.5555049999998</v>
      </c>
      <c r="I60" s="1364"/>
      <c r="J60" s="1364"/>
      <c r="K60" s="1364"/>
      <c r="L60" s="1490"/>
      <c r="M60" s="1490"/>
    </row>
    <row r="61" spans="1:13" s="1366" customFormat="1" ht="38.25">
      <c r="A61" s="1363">
        <v>16</v>
      </c>
      <c r="B61" s="1363" t="str">
        <f>+'CTMT, NV.PB01'!B173</f>
        <v>Về việc phân bổ kinh phí hỗ trợ từ nguồn dự phòng ngân sách Trung ương cho một số đơn vị, địa phương thực hiện nhiệm vụ</v>
      </c>
      <c r="C61" s="1364"/>
      <c r="D61" s="1364"/>
      <c r="E61" s="1364"/>
      <c r="F61" s="1365">
        <f t="shared" si="19"/>
        <v>500</v>
      </c>
      <c r="G61" s="1365"/>
      <c r="H61" s="1365">
        <f>+'CTMT, NV.PB01'!P173</f>
        <v>500</v>
      </c>
      <c r="I61" s="1364"/>
      <c r="J61" s="1364"/>
      <c r="K61" s="1364"/>
      <c r="L61" s="1490"/>
      <c r="M61" s="1490"/>
    </row>
    <row r="62" spans="1:13" s="1366" customFormat="1" ht="38.25">
      <c r="A62" s="1363">
        <v>17</v>
      </c>
      <c r="B62" s="1363" t="str">
        <f>+'CTMT, NV.PB01'!B174</f>
        <v>Kinh phí thực hiện tặng quà cho nhân dân nhân dịp kỷ niệm 80 năm Cách mạng tháng Tám và Quốc khánh 2/9</v>
      </c>
      <c r="C62" s="1364"/>
      <c r="D62" s="1364"/>
      <c r="E62" s="1364"/>
      <c r="F62" s="1365">
        <f t="shared" si="19"/>
        <v>569</v>
      </c>
      <c r="G62" s="1365"/>
      <c r="H62" s="1365">
        <f>+'CTMT, NV.PB01'!P174</f>
        <v>569</v>
      </c>
      <c r="I62" s="1364"/>
      <c r="J62" s="1364"/>
      <c r="K62" s="1364"/>
      <c r="L62" s="1490"/>
      <c r="M62" s="1490"/>
    </row>
    <row r="63" spans="1:13" s="1366" customFormat="1" ht="51">
      <c r="A63" s="1363">
        <v>18</v>
      </c>
      <c r="B63" s="1363" t="str">
        <f>+'CTMT, NV.PB01'!B175</f>
        <v xml:space="preserve">  Kinh phí  thực hiện chính sách, chế độ theo Nghị định số 178/2024/NĐ-CP ngày 31/12/2024 và Nghị định số 67/2025/NĐ-CP ngày 15/3/2025 của Chính phủ </v>
      </c>
      <c r="C63" s="1364"/>
      <c r="D63" s="1364"/>
      <c r="E63" s="1364"/>
      <c r="F63" s="1365">
        <f t="shared" si="19"/>
        <v>2277.6390000000001</v>
      </c>
      <c r="G63" s="1365"/>
      <c r="H63" s="1365">
        <f>+'CTMT, NV.PB01'!P175</f>
        <v>2277.6390000000001</v>
      </c>
      <c r="I63" s="1364"/>
      <c r="J63" s="1364"/>
      <c r="K63" s="1364"/>
      <c r="L63" s="1490"/>
      <c r="M63" s="1490"/>
    </row>
    <row r="64" spans="1:13" s="1366" customFormat="1" ht="38.25">
      <c r="A64" s="1363">
        <v>19</v>
      </c>
      <c r="B64" s="1363" t="str">
        <f>+'CTMT, NV.PB01'!B176</f>
        <v>Kinh phí thực hiện chính sách, chế độ theo Nghị định số 154/2025/NĐ-CP ngày 15/6/2025 của Chính phủ (đợt 2)</v>
      </c>
      <c r="C64" s="1364"/>
      <c r="D64" s="1364"/>
      <c r="E64" s="1364"/>
      <c r="F64" s="1365">
        <f t="shared" si="19"/>
        <v>155.73869999999999</v>
      </c>
      <c r="G64" s="1365"/>
      <c r="H64" s="1365">
        <f>+'CTMT, NV.PB01'!P176</f>
        <v>155.73869999999999</v>
      </c>
      <c r="I64" s="1364"/>
      <c r="J64" s="1364"/>
      <c r="K64" s="1364"/>
      <c r="L64" s="1490"/>
      <c r="M64" s="1490"/>
    </row>
    <row r="65" spans="1:13" s="1366" customFormat="1" ht="51">
      <c r="A65" s="1363">
        <v>20</v>
      </c>
      <c r="B65" s="1363" t="str">
        <f>+'CTMT, NV.PB01'!B177</f>
        <v xml:space="preserve">Kinh phí thực hiện chính sách, chế độ theo Nghị định số 178/2024/NĐ-CP ngày 31/12/2024 và Nghị định số 67/2025/NĐ-CP ngày 15/3/2025 của Chính phủ </v>
      </c>
      <c r="C65" s="1364"/>
      <c r="D65" s="1364"/>
      <c r="E65" s="1364"/>
      <c r="F65" s="1365">
        <f t="shared" si="19"/>
        <v>1540.8194550000001</v>
      </c>
      <c r="G65" s="1365"/>
      <c r="H65" s="1365">
        <f>+'CTMT, NV.PB01'!P177</f>
        <v>1540.8194550000001</v>
      </c>
      <c r="I65" s="1364"/>
      <c r="J65" s="1364"/>
      <c r="K65" s="1364"/>
      <c r="L65" s="1490"/>
      <c r="M65" s="1490"/>
    </row>
    <row r="66" spans="1:13" s="1366" customFormat="1" ht="51">
      <c r="A66" s="1363">
        <v>21</v>
      </c>
      <c r="B66" s="1363" t="str">
        <f>+'CTMT, NV.PB01'!B178</f>
        <v>Kinh phí thực hiện các nhiệm vụ đã phê duyệt trước khi sắp xếp đơn vị hành chính (KP bảo vệ rừng tự nhiên phòng hộ, sản xuất năm 2025)</v>
      </c>
      <c r="C66" s="1364"/>
      <c r="D66" s="1364"/>
      <c r="E66" s="1364"/>
      <c r="F66" s="1365">
        <f t="shared" si="19"/>
        <v>46.794600000000003</v>
      </c>
      <c r="G66" s="1365"/>
      <c r="H66" s="1365">
        <f>+'CTMT, NV.PB01'!P178</f>
        <v>46.794600000000003</v>
      </c>
      <c r="I66" s="1364"/>
      <c r="J66" s="1364"/>
      <c r="K66" s="1364"/>
      <c r="L66" s="1490"/>
      <c r="M66" s="1490"/>
    </row>
    <row r="67" spans="1:13" s="1366" customFormat="1" ht="25.5">
      <c r="A67" s="1363">
        <v>22</v>
      </c>
      <c r="B67" s="1363" t="str">
        <f>+'CTMT, NV.PB01'!B179</f>
        <v>Kinh phí thực hiện  tổ chức các hoạt động Tết Trung thu</v>
      </c>
      <c r="C67" s="1364"/>
      <c r="D67" s="1364"/>
      <c r="E67" s="1364"/>
      <c r="F67" s="1365">
        <f t="shared" si="19"/>
        <v>10</v>
      </c>
      <c r="G67" s="1365"/>
      <c r="H67" s="1365">
        <f>+'CTMT, NV.PB01'!P179</f>
        <v>10</v>
      </c>
      <c r="I67" s="1364"/>
      <c r="J67" s="1364"/>
      <c r="K67" s="1364"/>
      <c r="L67" s="1490"/>
      <c r="M67" s="1490"/>
    </row>
    <row r="68" spans="1:13" s="1366" customFormat="1" ht="25.5">
      <c r="A68" s="1363">
        <v>23</v>
      </c>
      <c r="B68" s="1363" t="str">
        <f>+'CTMT, NV.PB01'!B180</f>
        <v>Kinh phí thực hiện  sắp xếp, tinh gọn bộ máy, sắp xếp đơn vị hành chính</v>
      </c>
      <c r="C68" s="1364"/>
      <c r="D68" s="1364"/>
      <c r="E68" s="1364"/>
      <c r="F68" s="1365">
        <f t="shared" si="19"/>
        <v>1484.3592000000001</v>
      </c>
      <c r="G68" s="1365"/>
      <c r="H68" s="1365">
        <f>+'CTMT, NV.PB01'!P180</f>
        <v>1484.3592000000001</v>
      </c>
      <c r="I68" s="1364"/>
      <c r="J68" s="1364"/>
      <c r="K68" s="1364"/>
      <c r="L68" s="1490"/>
      <c r="M68" s="1490"/>
    </row>
    <row r="69" spans="1:13" s="1366" customFormat="1" ht="38.25">
      <c r="A69" s="1363">
        <v>24</v>
      </c>
      <c r="B69" s="1363" t="str">
        <f>+'CTMT, NV.PB01'!B181</f>
        <v>Về việc trích ngân sách tỉnh năm 2025 phân bổ kinh phí cho các đơn vị, địa phương để khắc phục hậu quả do mưa lũ gây ra (Đợt 2)</v>
      </c>
      <c r="C69" s="1364"/>
      <c r="D69" s="1364"/>
      <c r="E69" s="1364"/>
      <c r="F69" s="1365">
        <f t="shared" si="19"/>
        <v>367.077</v>
      </c>
      <c r="G69" s="1365"/>
      <c r="H69" s="1365">
        <f>+'CTMT, NV.PB01'!P181</f>
        <v>367.077</v>
      </c>
      <c r="I69" s="1364"/>
      <c r="J69" s="1364"/>
      <c r="K69" s="1364"/>
      <c r="L69" s="1490"/>
      <c r="M69" s="1490"/>
    </row>
    <row r="70" spans="1:13" s="1366" customFormat="1" ht="38.25">
      <c r="A70" s="1363">
        <v>25</v>
      </c>
      <c r="B70" s="1363" t="str">
        <f>+'CTMT, NV.PB01'!B182</f>
        <v>Kinh phí thực hiện  nhiệm vụ dã được phê duyệt nhiệm vụ đã được phê duyệt trước khi sắp sếp đơn vị hành chính</v>
      </c>
      <c r="C70" s="1364"/>
      <c r="D70" s="1364"/>
      <c r="E70" s="1364"/>
      <c r="F70" s="1365">
        <f t="shared" si="19"/>
        <v>660</v>
      </c>
      <c r="G70" s="1365"/>
      <c r="H70" s="1365">
        <f>+'CTMT, NV.PB01'!P182</f>
        <v>660</v>
      </c>
      <c r="I70" s="1364"/>
      <c r="J70" s="1364"/>
      <c r="K70" s="1364"/>
      <c r="L70" s="1490"/>
      <c r="M70" s="1490"/>
    </row>
    <row r="71" spans="1:13" s="1366" customFormat="1" ht="38.25">
      <c r="A71" s="1363">
        <v>26</v>
      </c>
      <c r="B71" s="1363" t="str">
        <f>+'CTMT, NV.PB01'!B183</f>
        <v>Kinh phí thực hiện  chính sách, chế độ Nghị định số 154/2025/NĐ-CP ngày 15/6/2025 của Chính phủ (Đợt 3);</v>
      </c>
      <c r="C71" s="1364"/>
      <c r="D71" s="1364"/>
      <c r="E71" s="1364"/>
      <c r="F71" s="1365">
        <f t="shared" si="19"/>
        <v>1326.635</v>
      </c>
      <c r="G71" s="1365"/>
      <c r="H71" s="1365">
        <f>+'CTMT, NV.PB01'!P183</f>
        <v>1326.635</v>
      </c>
      <c r="I71" s="1364"/>
      <c r="J71" s="1364"/>
      <c r="K71" s="1364"/>
      <c r="L71" s="1490"/>
      <c r="M71" s="1490"/>
    </row>
    <row r="72" spans="1:13" s="1366" customFormat="1" ht="63.75">
      <c r="A72" s="1363">
        <v>27</v>
      </c>
      <c r="B72" s="1363" t="str">
        <f>+'CTMT, NV.PB01'!B184</f>
        <v>Kinh phí thực hiện  chính sách, chế độ theo Nghị quyết số 07/2025/NQ-CP ngày 17/9/2025 của Chính phủ và Nghị quyết số 25/2025/NQ-HĐND ngày 28/10/2025 của HĐND tỉnh Thái Nguyên</v>
      </c>
      <c r="C72" s="1364"/>
      <c r="D72" s="1364"/>
      <c r="E72" s="1364"/>
      <c r="F72" s="1365">
        <f t="shared" si="19"/>
        <v>138.64500000000001</v>
      </c>
      <c r="G72" s="1365"/>
      <c r="H72" s="1365">
        <f>+'CTMT, NV.PB01'!P184</f>
        <v>138.64500000000001</v>
      </c>
      <c r="I72" s="1364"/>
      <c r="J72" s="1364"/>
      <c r="K72" s="1364"/>
      <c r="L72" s="1490"/>
      <c r="M72" s="1490"/>
    </row>
    <row r="73" spans="1:13" s="1366" customFormat="1" ht="76.5">
      <c r="A73" s="1363">
        <v>29</v>
      </c>
      <c r="B73" s="1363" t="str">
        <f>+'CTMT, NV.PB01'!B186</f>
        <v>Kinh phí thực hiện tặng quà của Đảng, Nhà nước nhân dịp chào mừng Đại hội đại biểu toàn quốc lần thứ XIV của Đảng và Tết Nguyên đán Bính Ngọ năm 2026 theo Nghị quyết số 418/NQ-CP ngày 28/12/2025 của Chính phủ</v>
      </c>
      <c r="C73" s="1364"/>
      <c r="D73" s="1364"/>
      <c r="E73" s="1364"/>
      <c r="F73" s="1365">
        <f t="shared" si="19"/>
        <v>150.79999999999998</v>
      </c>
      <c r="G73" s="1365"/>
      <c r="H73" s="1365">
        <f>+'CTMT, NV.PB01'!P186</f>
        <v>150.79999999999998</v>
      </c>
      <c r="I73" s="1364"/>
      <c r="J73" s="1364"/>
      <c r="K73" s="1364"/>
      <c r="L73" s="1490"/>
      <c r="M73" s="1490"/>
    </row>
    <row r="74" spans="1:13" s="1381" customFormat="1" ht="25.5" customHeight="1">
      <c r="A74" s="1480" t="s">
        <v>229</v>
      </c>
      <c r="B74" s="1481" t="s">
        <v>311</v>
      </c>
      <c r="C74" s="1482">
        <f>D74+E74</f>
        <v>0</v>
      </c>
      <c r="D74" s="1483"/>
      <c r="E74" s="1483"/>
      <c r="F74" s="1484">
        <f>G74+H74</f>
        <v>7524.422407</v>
      </c>
      <c r="G74" s="1484"/>
      <c r="H74" s="1484">
        <f>+'49'!D38</f>
        <v>7524.422407</v>
      </c>
      <c r="I74" s="1482"/>
      <c r="J74" s="1482"/>
      <c r="K74" s="1482"/>
    </row>
    <row r="75" spans="1:13" s="372" customFormat="1" ht="25.5" customHeight="1">
      <c r="A75" s="375"/>
      <c r="B75" s="376"/>
      <c r="C75" s="909"/>
      <c r="D75" s="909"/>
      <c r="E75" s="909"/>
      <c r="F75" s="909"/>
      <c r="G75" s="909"/>
      <c r="H75" s="909"/>
      <c r="I75" s="910"/>
      <c r="J75" s="910"/>
      <c r="K75" s="910"/>
    </row>
    <row r="76" spans="1:13" s="372" customFormat="1" ht="25.5" customHeight="1">
      <c r="A76" s="375"/>
      <c r="B76" s="376"/>
      <c r="C76" s="909"/>
      <c r="D76" s="909"/>
      <c r="E76" s="909"/>
      <c r="F76" s="909"/>
      <c r="G76" s="909"/>
      <c r="H76" s="909"/>
      <c r="I76" s="910"/>
      <c r="J76" s="910"/>
      <c r="K76" s="910"/>
    </row>
    <row r="77" spans="1:13" s="372" customFormat="1" ht="25.5" customHeight="1">
      <c r="A77" s="375"/>
      <c r="B77" s="376"/>
      <c r="C77" s="909"/>
      <c r="D77" s="909"/>
      <c r="E77" s="909"/>
      <c r="F77" s="909"/>
      <c r="G77" s="909"/>
      <c r="H77" s="909"/>
      <c r="I77" s="910"/>
      <c r="J77" s="910"/>
      <c r="K77" s="910"/>
    </row>
    <row r="78" spans="1:13" s="372" customFormat="1" ht="25.5" customHeight="1">
      <c r="A78" s="375"/>
      <c r="B78" s="376"/>
      <c r="C78" s="909"/>
      <c r="D78" s="909"/>
      <c r="E78" s="909"/>
      <c r="F78" s="909"/>
      <c r="G78" s="909"/>
      <c r="H78" s="909"/>
      <c r="I78" s="910"/>
      <c r="J78" s="910"/>
      <c r="K78" s="910"/>
    </row>
    <row r="79" spans="1:13" s="372" customFormat="1" ht="25.5" customHeight="1">
      <c r="A79" s="375"/>
      <c r="B79" s="376"/>
      <c r="C79" s="909"/>
      <c r="D79" s="909"/>
      <c r="E79" s="909"/>
      <c r="F79" s="909"/>
      <c r="G79" s="909"/>
      <c r="H79" s="909"/>
      <c r="I79" s="910"/>
      <c r="J79" s="910"/>
      <c r="K79" s="910"/>
    </row>
    <row r="80" spans="1:13" s="372" customFormat="1" ht="25.5" customHeight="1">
      <c r="A80" s="375"/>
      <c r="B80" s="376"/>
      <c r="C80" s="909"/>
      <c r="D80" s="909"/>
      <c r="E80" s="909"/>
      <c r="F80" s="909"/>
      <c r="G80" s="909"/>
      <c r="H80" s="909"/>
      <c r="I80" s="910"/>
      <c r="J80" s="910"/>
      <c r="K80" s="910"/>
    </row>
    <row r="81" spans="1:11" s="372" customFormat="1" ht="25.5" customHeight="1">
      <c r="A81" s="375"/>
      <c r="B81" s="376"/>
      <c r="C81" s="909"/>
      <c r="D81" s="909"/>
      <c r="E81" s="909"/>
      <c r="F81" s="909"/>
      <c r="G81" s="909"/>
      <c r="H81" s="909"/>
      <c r="I81" s="910"/>
      <c r="J81" s="910"/>
      <c r="K81" s="910"/>
    </row>
    <row r="82" spans="1:11" s="372" customFormat="1" ht="25.5" customHeight="1">
      <c r="A82" s="375"/>
      <c r="B82" s="376"/>
      <c r="C82" s="909"/>
      <c r="D82" s="909"/>
      <c r="E82" s="909"/>
      <c r="F82" s="909"/>
      <c r="G82" s="909"/>
      <c r="H82" s="909"/>
      <c r="I82" s="910"/>
      <c r="J82" s="910"/>
      <c r="K82" s="910"/>
    </row>
    <row r="83" spans="1:11" s="372" customFormat="1" ht="25.5" customHeight="1">
      <c r="A83" s="375"/>
      <c r="B83" s="376"/>
      <c r="C83" s="909"/>
      <c r="D83" s="909"/>
      <c r="E83" s="909"/>
      <c r="F83" s="909"/>
      <c r="G83" s="909"/>
      <c r="H83" s="909"/>
      <c r="I83" s="910"/>
      <c r="J83" s="910"/>
      <c r="K83" s="910"/>
    </row>
    <row r="84" spans="1:11" s="372" customFormat="1" ht="25.5" customHeight="1">
      <c r="A84" s="375"/>
      <c r="B84" s="376"/>
      <c r="C84" s="909"/>
      <c r="D84" s="909"/>
      <c r="E84" s="909"/>
      <c r="F84" s="909"/>
      <c r="G84" s="909"/>
      <c r="H84" s="909"/>
      <c r="I84" s="910"/>
      <c r="J84" s="910"/>
      <c r="K84" s="910"/>
    </row>
    <row r="85" spans="1:11" s="372" customFormat="1" ht="25.5" customHeight="1">
      <c r="A85" s="375"/>
      <c r="B85" s="376"/>
      <c r="C85" s="909"/>
      <c r="D85" s="909"/>
      <c r="E85" s="909"/>
      <c r="F85" s="909"/>
      <c r="G85" s="909"/>
      <c r="H85" s="909"/>
      <c r="I85" s="910"/>
      <c r="J85" s="910"/>
      <c r="K85" s="910"/>
    </row>
    <row r="86" spans="1:11" s="372" customFormat="1" ht="25.5" customHeight="1">
      <c r="A86" s="375"/>
      <c r="B86" s="376"/>
      <c r="C86" s="909"/>
      <c r="D86" s="909"/>
      <c r="E86" s="909"/>
      <c r="F86" s="909"/>
      <c r="G86" s="909"/>
      <c r="H86" s="909"/>
      <c r="I86" s="910"/>
      <c r="J86" s="910"/>
      <c r="K86" s="910"/>
    </row>
    <row r="87" spans="1:11" s="372" customFormat="1" ht="25.5" customHeight="1">
      <c r="A87" s="375"/>
      <c r="B87" s="376"/>
      <c r="C87" s="909"/>
      <c r="D87" s="909"/>
      <c r="E87" s="909"/>
      <c r="F87" s="909"/>
      <c r="G87" s="909"/>
      <c r="H87" s="909"/>
      <c r="I87" s="910"/>
      <c r="J87" s="910"/>
      <c r="K87" s="910"/>
    </row>
    <row r="88" spans="1:11" s="372" customFormat="1" ht="25.5" customHeight="1">
      <c r="A88" s="375"/>
      <c r="B88" s="376"/>
      <c r="C88" s="909"/>
      <c r="D88" s="909"/>
      <c r="E88" s="909"/>
      <c r="F88" s="909"/>
      <c r="G88" s="909"/>
      <c r="H88" s="909"/>
      <c r="I88" s="910"/>
      <c r="J88" s="910"/>
      <c r="K88" s="910"/>
    </row>
    <row r="89" spans="1:11" s="372" customFormat="1" ht="25.5" customHeight="1">
      <c r="A89" s="375"/>
      <c r="B89" s="376"/>
      <c r="C89" s="909"/>
      <c r="D89" s="909"/>
      <c r="E89" s="909"/>
      <c r="F89" s="909"/>
      <c r="G89" s="909"/>
      <c r="H89" s="909"/>
      <c r="I89" s="910"/>
      <c r="J89" s="910"/>
      <c r="K89" s="910"/>
    </row>
    <row r="90" spans="1:11" s="372" customFormat="1" ht="25.5" customHeight="1">
      <c r="A90" s="375"/>
      <c r="B90" s="376"/>
      <c r="C90" s="909"/>
      <c r="D90" s="909"/>
      <c r="E90" s="909"/>
      <c r="F90" s="909"/>
      <c r="G90" s="909"/>
      <c r="H90" s="909"/>
      <c r="I90" s="910"/>
      <c r="J90" s="910"/>
      <c r="K90" s="910"/>
    </row>
    <row r="91" spans="1:11" s="372" customFormat="1" ht="25.5" customHeight="1">
      <c r="A91" s="375"/>
      <c r="B91" s="376"/>
      <c r="C91" s="909"/>
      <c r="D91" s="909"/>
      <c r="E91" s="909"/>
      <c r="F91" s="909"/>
      <c r="G91" s="909"/>
      <c r="H91" s="909"/>
      <c r="I91" s="910"/>
      <c r="J91" s="910"/>
      <c r="K91" s="910"/>
    </row>
    <row r="92" spans="1:11" s="372" customFormat="1" ht="25.5" customHeight="1">
      <c r="A92" s="375"/>
      <c r="B92" s="376"/>
      <c r="C92" s="909"/>
      <c r="D92" s="909"/>
      <c r="E92" s="909"/>
      <c r="F92" s="909"/>
      <c r="G92" s="909"/>
      <c r="H92" s="909"/>
      <c r="I92" s="910"/>
      <c r="J92" s="910"/>
      <c r="K92" s="910"/>
    </row>
    <row r="93" spans="1:11" s="372" customFormat="1" ht="25.5" customHeight="1">
      <c r="A93" s="375"/>
      <c r="B93" s="376"/>
      <c r="C93" s="909"/>
      <c r="D93" s="909"/>
      <c r="E93" s="909"/>
      <c r="F93" s="909"/>
      <c r="G93" s="909"/>
      <c r="H93" s="909"/>
      <c r="I93" s="910"/>
      <c r="J93" s="910"/>
      <c r="K93" s="910"/>
    </row>
    <row r="94" spans="1:11" s="372" customFormat="1" ht="25.5" customHeight="1">
      <c r="A94" s="375"/>
      <c r="B94" s="376"/>
      <c r="C94" s="909"/>
      <c r="D94" s="909"/>
      <c r="E94" s="909"/>
      <c r="F94" s="909"/>
      <c r="G94" s="909"/>
      <c r="H94" s="909"/>
      <c r="I94" s="910"/>
      <c r="J94" s="910"/>
      <c r="K94" s="910"/>
    </row>
    <row r="95" spans="1:11" s="372" customFormat="1" ht="25.5" customHeight="1">
      <c r="A95" s="375"/>
      <c r="B95" s="376"/>
      <c r="C95" s="909"/>
      <c r="D95" s="909"/>
      <c r="E95" s="909"/>
      <c r="F95" s="909"/>
      <c r="G95" s="909"/>
      <c r="H95" s="909"/>
      <c r="I95" s="910"/>
      <c r="J95" s="910"/>
      <c r="K95" s="910"/>
    </row>
    <row r="96" spans="1:11" s="372" customFormat="1" ht="25.5" customHeight="1">
      <c r="A96" s="375"/>
      <c r="B96" s="376"/>
      <c r="C96" s="909"/>
      <c r="D96" s="909"/>
      <c r="E96" s="909"/>
      <c r="F96" s="909"/>
      <c r="G96" s="909"/>
      <c r="H96" s="909"/>
      <c r="I96" s="910"/>
      <c r="J96" s="910"/>
      <c r="K96" s="910"/>
    </row>
    <row r="97" spans="1:11" s="372" customFormat="1" ht="25.5" customHeight="1">
      <c r="A97" s="375"/>
      <c r="B97" s="376"/>
      <c r="C97" s="909"/>
      <c r="D97" s="909"/>
      <c r="E97" s="909"/>
      <c r="F97" s="909"/>
      <c r="G97" s="909"/>
      <c r="H97" s="909"/>
      <c r="I97" s="910"/>
      <c r="J97" s="910"/>
      <c r="K97" s="910"/>
    </row>
    <row r="98" spans="1:11" s="372" customFormat="1" ht="25.5" customHeight="1">
      <c r="A98" s="375"/>
      <c r="B98" s="376"/>
      <c r="C98" s="909"/>
      <c r="D98" s="909"/>
      <c r="E98" s="909"/>
      <c r="F98" s="909"/>
      <c r="G98" s="909"/>
      <c r="H98" s="909"/>
      <c r="I98" s="910"/>
      <c r="J98" s="910"/>
      <c r="K98" s="910"/>
    </row>
    <row r="99" spans="1:11" s="372" customFormat="1" ht="25.5" customHeight="1">
      <c r="A99" s="375"/>
      <c r="B99" s="376"/>
      <c r="C99" s="909"/>
      <c r="D99" s="909"/>
      <c r="E99" s="909"/>
      <c r="F99" s="909"/>
      <c r="G99" s="909"/>
      <c r="H99" s="909"/>
      <c r="I99" s="910"/>
      <c r="J99" s="910"/>
      <c r="K99" s="910"/>
    </row>
    <row r="100" spans="1:11" s="372" customFormat="1" ht="25.5" customHeight="1">
      <c r="A100" s="375"/>
      <c r="B100" s="376"/>
      <c r="C100" s="909"/>
      <c r="D100" s="909"/>
      <c r="E100" s="909"/>
      <c r="F100" s="909"/>
      <c r="G100" s="909"/>
      <c r="H100" s="909"/>
      <c r="I100" s="910"/>
      <c r="J100" s="910"/>
      <c r="K100" s="910"/>
    </row>
    <row r="101" spans="1:11" s="372" customFormat="1" ht="25.5" customHeight="1">
      <c r="A101" s="375"/>
      <c r="B101" s="376"/>
      <c r="C101" s="909"/>
      <c r="D101" s="909"/>
      <c r="E101" s="909"/>
      <c r="F101" s="909"/>
      <c r="G101" s="909"/>
      <c r="H101" s="909"/>
      <c r="I101" s="910"/>
      <c r="J101" s="910"/>
      <c r="K101" s="910"/>
    </row>
    <row r="102" spans="1:11" s="372" customFormat="1" ht="25.5" customHeight="1">
      <c r="A102" s="375"/>
      <c r="B102" s="376"/>
      <c r="C102" s="909"/>
      <c r="D102" s="909"/>
      <c r="E102" s="909"/>
      <c r="F102" s="909"/>
      <c r="G102" s="909"/>
      <c r="H102" s="909"/>
      <c r="I102" s="910"/>
      <c r="J102" s="910"/>
      <c r="K102" s="910"/>
    </row>
    <row r="103" spans="1:11" s="372" customFormat="1" ht="25.5" customHeight="1">
      <c r="A103" s="375"/>
      <c r="B103" s="376"/>
      <c r="C103" s="909"/>
      <c r="D103" s="909"/>
      <c r="E103" s="909"/>
      <c r="F103" s="909"/>
      <c r="G103" s="909"/>
      <c r="H103" s="909"/>
      <c r="I103" s="910"/>
      <c r="J103" s="910"/>
      <c r="K103" s="910"/>
    </row>
    <row r="104" spans="1:11" s="372" customFormat="1" ht="25.5" customHeight="1">
      <c r="A104" s="375"/>
      <c r="B104" s="376"/>
      <c r="C104" s="909"/>
      <c r="D104" s="909"/>
      <c r="E104" s="909"/>
      <c r="F104" s="909"/>
      <c r="G104" s="909"/>
      <c r="H104" s="909"/>
      <c r="I104" s="910"/>
      <c r="J104" s="910"/>
      <c r="K104" s="910"/>
    </row>
    <row r="105" spans="1:11" s="372" customFormat="1" ht="25.5" customHeight="1">
      <c r="A105" s="375"/>
      <c r="B105" s="376"/>
      <c r="C105" s="909"/>
      <c r="D105" s="909"/>
      <c r="E105" s="909"/>
      <c r="F105" s="909"/>
      <c r="G105" s="909"/>
      <c r="H105" s="909"/>
      <c r="I105" s="910"/>
      <c r="J105" s="910"/>
      <c r="K105" s="910"/>
    </row>
    <row r="106" spans="1:11" s="372" customFormat="1" ht="25.5" customHeight="1">
      <c r="A106" s="375"/>
      <c r="B106" s="376"/>
      <c r="C106" s="909"/>
      <c r="D106" s="909"/>
      <c r="E106" s="909"/>
      <c r="F106" s="909"/>
      <c r="G106" s="909"/>
      <c r="H106" s="909"/>
      <c r="I106" s="910"/>
      <c r="J106" s="910"/>
      <c r="K106" s="910"/>
    </row>
    <row r="107" spans="1:11" s="372" customFormat="1" ht="25.5" customHeight="1">
      <c r="A107" s="375"/>
      <c r="B107" s="376"/>
      <c r="C107" s="909"/>
      <c r="D107" s="909"/>
      <c r="E107" s="909"/>
      <c r="F107" s="909"/>
      <c r="G107" s="909"/>
      <c r="H107" s="909"/>
      <c r="I107" s="910"/>
      <c r="J107" s="910"/>
      <c r="K107" s="910"/>
    </row>
    <row r="108" spans="1:11" s="372" customFormat="1" ht="25.5" customHeight="1">
      <c r="A108" s="375"/>
      <c r="B108" s="376"/>
      <c r="C108" s="909"/>
      <c r="D108" s="909"/>
      <c r="E108" s="909"/>
      <c r="F108" s="909"/>
      <c r="G108" s="909"/>
      <c r="H108" s="909"/>
      <c r="I108" s="910"/>
      <c r="J108" s="910"/>
      <c r="K108" s="910"/>
    </row>
    <row r="109" spans="1:11" s="372" customFormat="1" ht="25.5" customHeight="1">
      <c r="A109" s="375"/>
      <c r="B109" s="376"/>
      <c r="C109" s="909"/>
      <c r="D109" s="909"/>
      <c r="E109" s="909"/>
      <c r="F109" s="909"/>
      <c r="G109" s="909"/>
      <c r="H109" s="909"/>
      <c r="I109" s="910"/>
      <c r="J109" s="910"/>
      <c r="K109" s="910"/>
    </row>
    <row r="110" spans="1:11" s="372" customFormat="1" ht="25.5" customHeight="1">
      <c r="A110" s="375"/>
      <c r="B110" s="376"/>
      <c r="C110" s="909"/>
      <c r="D110" s="909"/>
      <c r="E110" s="909"/>
      <c r="F110" s="909"/>
      <c r="G110" s="909"/>
      <c r="H110" s="909"/>
      <c r="I110" s="910"/>
      <c r="J110" s="910"/>
      <c r="K110" s="910"/>
    </row>
    <row r="111" spans="1:11" s="372" customFormat="1" ht="25.5" customHeight="1">
      <c r="A111" s="375"/>
      <c r="B111" s="376"/>
      <c r="C111" s="909"/>
      <c r="D111" s="909"/>
      <c r="E111" s="909"/>
      <c r="F111" s="909"/>
      <c r="G111" s="909"/>
      <c r="H111" s="909"/>
      <c r="I111" s="910"/>
      <c r="J111" s="910"/>
      <c r="K111" s="910"/>
    </row>
    <row r="112" spans="1:11" s="372" customFormat="1" ht="25.5" customHeight="1">
      <c r="A112" s="375"/>
      <c r="B112" s="376"/>
      <c r="C112" s="909"/>
      <c r="D112" s="909"/>
      <c r="E112" s="909"/>
      <c r="F112" s="909"/>
      <c r="G112" s="909"/>
      <c r="H112" s="909"/>
      <c r="I112" s="910"/>
      <c r="J112" s="910"/>
      <c r="K112" s="910"/>
    </row>
    <row r="113" spans="1:11" s="372" customFormat="1" ht="25.5" customHeight="1">
      <c r="A113" s="375"/>
      <c r="B113" s="376"/>
      <c r="C113" s="909"/>
      <c r="D113" s="909"/>
      <c r="E113" s="909"/>
      <c r="F113" s="909"/>
      <c r="G113" s="909"/>
      <c r="H113" s="909"/>
      <c r="I113" s="910"/>
      <c r="J113" s="910"/>
      <c r="K113" s="910"/>
    </row>
    <row r="114" spans="1:11" s="372" customFormat="1" ht="25.5" customHeight="1">
      <c r="A114" s="375"/>
      <c r="B114" s="376"/>
      <c r="C114" s="909"/>
      <c r="D114" s="909"/>
      <c r="E114" s="909"/>
      <c r="F114" s="909"/>
      <c r="G114" s="909"/>
      <c r="H114" s="909"/>
      <c r="I114" s="910"/>
      <c r="J114" s="910"/>
      <c r="K114" s="910"/>
    </row>
    <row r="115" spans="1:11" s="372" customFormat="1" ht="25.5" customHeight="1">
      <c r="A115" s="375"/>
      <c r="B115" s="376"/>
      <c r="C115" s="909"/>
      <c r="D115" s="909"/>
      <c r="E115" s="909"/>
      <c r="F115" s="909"/>
      <c r="G115" s="909"/>
      <c r="H115" s="909"/>
      <c r="I115" s="910"/>
      <c r="J115" s="910"/>
      <c r="K115" s="910"/>
    </row>
    <row r="116" spans="1:11" s="372" customFormat="1" ht="25.5" customHeight="1">
      <c r="A116" s="375"/>
      <c r="B116" s="376"/>
      <c r="C116" s="909"/>
      <c r="D116" s="909"/>
      <c r="E116" s="909"/>
      <c r="F116" s="909"/>
      <c r="G116" s="909"/>
      <c r="H116" s="909"/>
      <c r="I116" s="910"/>
      <c r="J116" s="910"/>
      <c r="K116" s="910"/>
    </row>
    <row r="117" spans="1:11" s="372" customFormat="1" ht="25.5" customHeight="1">
      <c r="A117" s="375"/>
      <c r="B117" s="376"/>
      <c r="C117" s="909"/>
      <c r="D117" s="909"/>
      <c r="E117" s="909"/>
      <c r="F117" s="909"/>
      <c r="G117" s="909"/>
      <c r="H117" s="909"/>
      <c r="I117" s="910"/>
      <c r="J117" s="910"/>
      <c r="K117" s="910"/>
    </row>
    <row r="118" spans="1:11" s="372" customFormat="1" ht="25.5" customHeight="1">
      <c r="A118" s="375"/>
      <c r="B118" s="376"/>
      <c r="C118" s="909"/>
      <c r="D118" s="909"/>
      <c r="E118" s="909"/>
      <c r="F118" s="909"/>
      <c r="G118" s="909"/>
      <c r="H118" s="909"/>
      <c r="I118" s="910"/>
      <c r="J118" s="910"/>
      <c r="K118" s="910"/>
    </row>
    <row r="119" spans="1:11" s="372" customFormat="1" ht="25.5" customHeight="1">
      <c r="A119" s="375"/>
      <c r="B119" s="376"/>
      <c r="C119" s="909"/>
      <c r="D119" s="909"/>
      <c r="E119" s="909"/>
      <c r="F119" s="909"/>
      <c r="G119" s="909"/>
      <c r="H119" s="909"/>
      <c r="I119" s="910"/>
      <c r="J119" s="910"/>
      <c r="K119" s="910"/>
    </row>
    <row r="121" spans="1:11" ht="15.75" customHeight="1">
      <c r="G121" s="1788" t="s">
        <v>506</v>
      </c>
      <c r="H121" s="1788"/>
      <c r="I121" s="1788"/>
      <c r="J121" s="187"/>
      <c r="K121" s="187"/>
    </row>
    <row r="122" spans="1:11" ht="15.75" customHeight="1">
      <c r="F122" s="911"/>
      <c r="G122" s="1787" t="s">
        <v>214</v>
      </c>
      <c r="H122" s="1787"/>
      <c r="I122" s="1787"/>
      <c r="J122" s="377"/>
      <c r="K122" s="377"/>
    </row>
    <row r="123" spans="1:11" ht="15.75" customHeight="1">
      <c r="F123" s="912"/>
      <c r="G123" s="1787" t="s">
        <v>215</v>
      </c>
      <c r="H123" s="1787"/>
      <c r="I123" s="1787"/>
      <c r="J123" s="377"/>
      <c r="K123" s="377"/>
    </row>
    <row r="124" spans="1:11" ht="15.75" customHeight="1">
      <c r="F124" s="912"/>
      <c r="G124" s="1788" t="s">
        <v>141</v>
      </c>
      <c r="H124" s="1788"/>
      <c r="I124" s="1788"/>
      <c r="J124" s="187"/>
      <c r="K124" s="187"/>
    </row>
    <row r="127" spans="1:11">
      <c r="C127" s="913"/>
      <c r="F127" s="36"/>
    </row>
    <row r="128" spans="1:11">
      <c r="F128" s="36"/>
    </row>
    <row r="129" spans="6:9">
      <c r="F129" s="36"/>
    </row>
    <row r="130" spans="6:9">
      <c r="F130" s="36"/>
    </row>
    <row r="131" spans="6:9" ht="18.75">
      <c r="G131" s="1789" t="s">
        <v>501</v>
      </c>
      <c r="H131" s="1789"/>
      <c r="I131" s="1789"/>
    </row>
  </sheetData>
  <mergeCells count="16">
    <mergeCell ref="G131:I131"/>
    <mergeCell ref="F5:F6"/>
    <mergeCell ref="I5:K5"/>
    <mergeCell ref="G5:H5"/>
    <mergeCell ref="G121:I121"/>
    <mergeCell ref="G122:I122"/>
    <mergeCell ref="G123:I123"/>
    <mergeCell ref="G124:I124"/>
    <mergeCell ref="I1:K1"/>
    <mergeCell ref="A2:K2"/>
    <mergeCell ref="A5:A6"/>
    <mergeCell ref="B5:B6"/>
    <mergeCell ref="C5:C6"/>
    <mergeCell ref="D5:E5"/>
    <mergeCell ref="C4:D4"/>
    <mergeCell ref="A3:K3"/>
  </mergeCells>
  <phoneticPr fontId="31" type="noConversion"/>
  <pageMargins left="0.37" right="0.16" top="0.68" bottom="0.25" header="0.2" footer="0.2"/>
  <pageSetup paperSize="9" firstPageNumber="157" orientation="landscape" useFirstPageNumber="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0"/>
  </sheetPr>
  <dimension ref="A1:T31"/>
  <sheetViews>
    <sheetView zoomScaleNormal="100" workbookViewId="0">
      <pane xSplit="2" ySplit="7" topLeftCell="C8" activePane="bottomRight" state="frozenSplit"/>
      <selection pane="topRight" activeCell="C1" sqref="C1"/>
      <selection pane="bottomLeft" activeCell="A43" sqref="A43"/>
      <selection pane="bottomRight" activeCell="I5" sqref="I5:O5"/>
    </sheetView>
  </sheetViews>
  <sheetFormatPr defaultColWidth="9.28515625" defaultRowHeight="15"/>
  <cols>
    <col min="1" max="1" width="4.7109375" style="952" customWidth="1"/>
    <col min="2" max="2" width="24.28515625" style="952" customWidth="1"/>
    <col min="3" max="3" width="12.7109375" style="970" customWidth="1"/>
    <col min="4" max="4" width="12.42578125" style="970" customWidth="1"/>
    <col min="5" max="5" width="13" style="970" customWidth="1"/>
    <col min="6" max="6" width="12.7109375" style="991" customWidth="1"/>
    <col min="7" max="7" width="12.28515625" style="991" customWidth="1"/>
    <col min="8" max="8" width="13.5703125" style="970" customWidth="1"/>
    <col min="9" max="9" width="13" style="970" customWidth="1"/>
    <col min="10" max="10" width="12" style="970" customWidth="1"/>
    <col min="11" max="11" width="13" style="970" customWidth="1"/>
    <col min="12" max="13" width="12.7109375" style="970" customWidth="1"/>
    <col min="14" max="14" width="15.5703125" style="990" customWidth="1"/>
    <col min="15" max="15" width="12" style="970" customWidth="1"/>
    <col min="16" max="16" width="8" style="989" customWidth="1"/>
    <col min="17" max="17" width="10" style="970" customWidth="1"/>
    <col min="18" max="18" width="8" style="970" customWidth="1"/>
    <col min="19" max="19" width="7.42578125" style="952" customWidth="1"/>
    <col min="20" max="20" width="12.42578125" style="952" bestFit="1" customWidth="1"/>
    <col min="21" max="16384" width="9.28515625" style="952"/>
  </cols>
  <sheetData>
    <row r="1" spans="1:20" s="33" customFormat="1" ht="20.25" customHeight="1">
      <c r="A1" s="34" t="str">
        <f>'48.QTCĐNSĐP'!A1</f>
        <v>UBND XÃ CƯỜNG LỢI</v>
      </c>
      <c r="C1" s="36"/>
      <c r="D1" s="36"/>
      <c r="E1" s="36"/>
      <c r="F1" s="378"/>
      <c r="G1" s="1802"/>
      <c r="H1" s="1802"/>
      <c r="I1" s="1247"/>
      <c r="J1" s="1248"/>
      <c r="K1" s="36"/>
      <c r="L1" s="36"/>
      <c r="M1" s="36"/>
      <c r="N1" s="1808"/>
      <c r="O1" s="1808"/>
      <c r="P1" s="1249"/>
      <c r="Q1" s="1250" t="s">
        <v>1429</v>
      </c>
      <c r="R1" s="1250"/>
    </row>
    <row r="2" spans="1:20" s="33" customFormat="1" ht="28.5" customHeight="1">
      <c r="A2" s="1787" t="s">
        <v>1120</v>
      </c>
      <c r="B2" s="1787"/>
      <c r="C2" s="1787"/>
      <c r="D2" s="1787"/>
      <c r="E2" s="1787"/>
      <c r="F2" s="1787"/>
      <c r="G2" s="1787"/>
      <c r="H2" s="1787"/>
      <c r="I2" s="1787"/>
      <c r="J2" s="1787"/>
      <c r="K2" s="1787"/>
      <c r="L2" s="1787"/>
      <c r="M2" s="1787"/>
      <c r="N2" s="1787"/>
      <c r="O2" s="1787"/>
      <c r="P2" s="1787"/>
      <c r="Q2" s="1787"/>
      <c r="R2" s="1787"/>
    </row>
    <row r="3" spans="1:20" s="33" customFormat="1" ht="27" customHeight="1">
      <c r="A3" s="1788" t="str">
        <f>+'49'!A3:E3</f>
        <v>(Kèm theo Báo cáo số 151/BC-UBND ngày 20/3/2026 của UBND xã Cường Lợi)</v>
      </c>
      <c r="B3" s="1788"/>
      <c r="C3" s="1788"/>
      <c r="D3" s="1788"/>
      <c r="E3" s="1788"/>
      <c r="F3" s="1788"/>
      <c r="G3" s="1788"/>
      <c r="H3" s="1788"/>
      <c r="I3" s="1788"/>
      <c r="J3" s="1788"/>
      <c r="K3" s="1788"/>
      <c r="L3" s="1788"/>
      <c r="M3" s="1788"/>
      <c r="N3" s="1788"/>
      <c r="O3" s="1788"/>
      <c r="P3" s="1788"/>
      <c r="Q3" s="1788"/>
      <c r="R3" s="1788"/>
      <c r="S3" s="1788"/>
    </row>
    <row r="4" spans="1:20" s="33" customFormat="1" ht="15.75">
      <c r="B4" s="50"/>
      <c r="C4" s="1251"/>
      <c r="D4" s="1248"/>
      <c r="E4" s="51"/>
      <c r="F4" s="378"/>
      <c r="G4" s="1252"/>
      <c r="H4" s="1253"/>
      <c r="I4" s="51"/>
      <c r="J4" s="1253"/>
      <c r="K4" s="1253"/>
      <c r="L4" s="1254"/>
      <c r="M4" s="1255"/>
      <c r="N4" s="1255"/>
      <c r="O4" s="1256"/>
      <c r="P4" s="1803" t="s">
        <v>290</v>
      </c>
      <c r="Q4" s="1803"/>
      <c r="R4" s="1803"/>
      <c r="S4" s="1803"/>
    </row>
    <row r="5" spans="1:20" s="37" customFormat="1" ht="27.75" customHeight="1">
      <c r="A5" s="1783" t="s">
        <v>291</v>
      </c>
      <c r="B5" s="1783" t="s">
        <v>236</v>
      </c>
      <c r="C5" s="1809" t="s">
        <v>293</v>
      </c>
      <c r="D5" s="1809"/>
      <c r="E5" s="1809"/>
      <c r="F5" s="1809"/>
      <c r="G5" s="1809"/>
      <c r="H5" s="1809"/>
      <c r="I5" s="1809" t="s">
        <v>136</v>
      </c>
      <c r="J5" s="1809"/>
      <c r="K5" s="1809"/>
      <c r="L5" s="1809"/>
      <c r="M5" s="1809"/>
      <c r="N5" s="1809"/>
      <c r="O5" s="1809"/>
      <c r="P5" s="1809" t="s">
        <v>158</v>
      </c>
      <c r="Q5" s="1809"/>
      <c r="R5" s="1809"/>
      <c r="S5" s="1809"/>
    </row>
    <row r="6" spans="1:20" s="37" customFormat="1" ht="32.25" customHeight="1">
      <c r="A6" s="1783"/>
      <c r="B6" s="1783"/>
      <c r="C6" s="1804" t="s">
        <v>142</v>
      </c>
      <c r="D6" s="1804" t="s">
        <v>33</v>
      </c>
      <c r="E6" s="1804" t="s">
        <v>34</v>
      </c>
      <c r="F6" s="1805" t="s">
        <v>267</v>
      </c>
      <c r="G6" s="1806"/>
      <c r="H6" s="1807"/>
      <c r="I6" s="1804" t="s">
        <v>142</v>
      </c>
      <c r="J6" s="1804" t="s">
        <v>33</v>
      </c>
      <c r="K6" s="1804" t="s">
        <v>34</v>
      </c>
      <c r="L6" s="1804" t="s">
        <v>267</v>
      </c>
      <c r="M6" s="1804"/>
      <c r="N6" s="1804"/>
      <c r="O6" s="1804" t="s">
        <v>268</v>
      </c>
      <c r="P6" s="1810" t="s">
        <v>142</v>
      </c>
      <c r="Q6" s="1804" t="s">
        <v>33</v>
      </c>
      <c r="R6" s="1804" t="s">
        <v>1142</v>
      </c>
      <c r="S6" s="1804" t="s">
        <v>1141</v>
      </c>
    </row>
    <row r="7" spans="1:20" s="37" customFormat="1" ht="63.75" customHeight="1">
      <c r="A7" s="1783"/>
      <c r="B7" s="1783"/>
      <c r="C7" s="1804"/>
      <c r="D7" s="1804"/>
      <c r="E7" s="1804"/>
      <c r="F7" s="1327" t="s">
        <v>142</v>
      </c>
      <c r="G7" s="1327" t="s">
        <v>75</v>
      </c>
      <c r="H7" s="1326" t="s">
        <v>446</v>
      </c>
      <c r="I7" s="1804"/>
      <c r="J7" s="1804"/>
      <c r="K7" s="1804"/>
      <c r="L7" s="1326" t="s">
        <v>142</v>
      </c>
      <c r="M7" s="1326" t="s">
        <v>75</v>
      </c>
      <c r="N7" s="1328" t="s">
        <v>446</v>
      </c>
      <c r="O7" s="1804"/>
      <c r="P7" s="1810"/>
      <c r="Q7" s="1804"/>
      <c r="R7" s="1804"/>
      <c r="S7" s="1804"/>
    </row>
    <row r="8" spans="1:20" s="1306" customFormat="1" ht="19.5" customHeight="1">
      <c r="A8" s="1329" t="s">
        <v>294</v>
      </c>
      <c r="B8" s="1329" t="s">
        <v>295</v>
      </c>
      <c r="C8" s="1330">
        <v>1</v>
      </c>
      <c r="D8" s="1330">
        <v>2</v>
      </c>
      <c r="E8" s="1330">
        <v>3</v>
      </c>
      <c r="F8" s="1330">
        <v>4</v>
      </c>
      <c r="G8" s="1330">
        <v>5</v>
      </c>
      <c r="H8" s="1330">
        <v>6</v>
      </c>
      <c r="I8" s="1330">
        <v>7</v>
      </c>
      <c r="J8" s="1330">
        <v>8</v>
      </c>
      <c r="K8" s="1330">
        <v>9</v>
      </c>
      <c r="L8" s="1330">
        <v>10</v>
      </c>
      <c r="M8" s="1330">
        <v>11</v>
      </c>
      <c r="N8" s="1330">
        <v>12</v>
      </c>
      <c r="O8" s="1330">
        <v>13</v>
      </c>
      <c r="P8" s="1330">
        <v>14</v>
      </c>
      <c r="Q8" s="1330">
        <v>15</v>
      </c>
      <c r="R8" s="1330">
        <v>16</v>
      </c>
      <c r="S8" s="1330">
        <v>17</v>
      </c>
    </row>
    <row r="9" spans="1:20" s="52" customFormat="1" ht="21.75" customHeight="1">
      <c r="A9" s="1298"/>
      <c r="B9" s="1299" t="s">
        <v>447</v>
      </c>
      <c r="C9" s="1295">
        <f>+C10+C26+C27+C28+C29+C30+C31</f>
        <v>99812.224403000015</v>
      </c>
      <c r="D9" s="1295">
        <f t="shared" ref="D9:O9" si="0">+D10+D26+D27+D28+D29+D30+D31</f>
        <v>4126.5930420000004</v>
      </c>
      <c r="E9" s="1295">
        <f t="shared" si="0"/>
        <v>75584.129941000007</v>
      </c>
      <c r="F9" s="1295">
        <f t="shared" si="0"/>
        <v>20101.501420000004</v>
      </c>
      <c r="G9" s="1295">
        <f t="shared" si="0"/>
        <v>9689.5621040000005</v>
      </c>
      <c r="H9" s="1295">
        <f t="shared" si="0"/>
        <v>10411.939316000002</v>
      </c>
      <c r="I9" s="1295">
        <f t="shared" si="0"/>
        <v>103957.14597600001</v>
      </c>
      <c r="J9" s="1295">
        <f t="shared" si="0"/>
        <v>3916.709942</v>
      </c>
      <c r="K9" s="1295">
        <f t="shared" si="0"/>
        <v>73255.877572000012</v>
      </c>
      <c r="L9" s="1295">
        <f t="shared" si="0"/>
        <v>19260.136055000003</v>
      </c>
      <c r="M9" s="1295">
        <f t="shared" si="0"/>
        <v>9270.3579040000004</v>
      </c>
      <c r="N9" s="1295">
        <f t="shared" si="0"/>
        <v>9989.7781509999986</v>
      </c>
      <c r="O9" s="1295">
        <f t="shared" si="0"/>
        <v>7524.422407</v>
      </c>
      <c r="P9" s="1296">
        <f t="shared" ref="P9:S10" si="1">I9/C9*100</f>
        <v>104.15271936658232</v>
      </c>
      <c r="Q9" s="1296">
        <f t="shared" si="1"/>
        <v>94.913889063839491</v>
      </c>
      <c r="R9" s="1296">
        <f t="shared" si="1"/>
        <v>96.919654468712679</v>
      </c>
      <c r="S9" s="1297">
        <f t="shared" si="1"/>
        <v>95.814415314455644</v>
      </c>
    </row>
    <row r="10" spans="1:20" s="374" customFormat="1" ht="39" customHeight="1">
      <c r="A10" s="1293" t="s">
        <v>296</v>
      </c>
      <c r="B10" s="1294" t="s">
        <v>1122</v>
      </c>
      <c r="C10" s="1295">
        <f>SUM(C11:C23)</f>
        <v>99812.224403000015</v>
      </c>
      <c r="D10" s="1295">
        <f t="shared" ref="D10:O10" si="2">SUM(D11:D23)</f>
        <v>4126.5930420000004</v>
      </c>
      <c r="E10" s="1295">
        <f t="shared" si="2"/>
        <v>75584.129941000007</v>
      </c>
      <c r="F10" s="1295">
        <f t="shared" si="2"/>
        <v>20101.501420000004</v>
      </c>
      <c r="G10" s="1295">
        <f t="shared" si="2"/>
        <v>9689.5621040000005</v>
      </c>
      <c r="H10" s="1295">
        <f t="shared" si="2"/>
        <v>10411.939316000002</v>
      </c>
      <c r="I10" s="1295">
        <f t="shared" si="2"/>
        <v>96942.975630000001</v>
      </c>
      <c r="J10" s="1295">
        <f t="shared" si="2"/>
        <v>3916.709942</v>
      </c>
      <c r="K10" s="1295">
        <f t="shared" si="2"/>
        <v>73075.754572000005</v>
      </c>
      <c r="L10" s="1295">
        <f t="shared" si="2"/>
        <v>19260.136055000003</v>
      </c>
      <c r="M10" s="1295">
        <f t="shared" si="2"/>
        <v>9270.3579040000004</v>
      </c>
      <c r="N10" s="1295">
        <f t="shared" si="2"/>
        <v>9989.7781509999986</v>
      </c>
      <c r="O10" s="1295">
        <f t="shared" si="2"/>
        <v>690.37506099999996</v>
      </c>
      <c r="P10" s="1296">
        <f t="shared" si="1"/>
        <v>97.125353342076423</v>
      </c>
      <c r="Q10" s="1296">
        <f t="shared" si="1"/>
        <v>94.913889063839491</v>
      </c>
      <c r="R10" s="1296">
        <f t="shared" si="1"/>
        <v>96.68134650625997</v>
      </c>
      <c r="S10" s="1297">
        <f t="shared" si="1"/>
        <v>95.814415314455644</v>
      </c>
    </row>
    <row r="11" spans="1:20" s="37" customFormat="1" ht="32.25" customHeight="1">
      <c r="A11" s="1285">
        <v>1</v>
      </c>
      <c r="B11" s="1286" t="str">
        <f>+'56'!B9</f>
        <v>Văn phòng HĐND và UBND xã</v>
      </c>
      <c r="C11" s="1287">
        <f>SUM(D11:F11)</f>
        <v>16933.799009999999</v>
      </c>
      <c r="D11" s="1287">
        <v>0</v>
      </c>
      <c r="E11" s="1287">
        <f>+'56'!C9-'54'!H11</f>
        <v>16873.799009999999</v>
      </c>
      <c r="F11" s="1288">
        <f t="shared" ref="F11" si="3">SUM(G11:H11)</f>
        <v>60</v>
      </c>
      <c r="G11" s="1288"/>
      <c r="H11" s="1288">
        <v>60</v>
      </c>
      <c r="I11" s="1271">
        <f>+K11+L11</f>
        <v>16823.559881000001</v>
      </c>
      <c r="J11" s="1287"/>
      <c r="K11" s="1287">
        <v>16763.559881000001</v>
      </c>
      <c r="L11" s="1287">
        <f t="shared" ref="L11:L25" si="4">SUM(M11:N11)</f>
        <v>60</v>
      </c>
      <c r="M11" s="1287"/>
      <c r="N11" s="1289">
        <v>60</v>
      </c>
      <c r="O11" s="1290"/>
      <c r="P11" s="1291">
        <f t="shared" ref="P11:P25" si="5">I11/C11*100</f>
        <v>99.348999424553824</v>
      </c>
      <c r="Q11" s="1291"/>
      <c r="R11" s="1291">
        <f t="shared" ref="R11:R25" si="6">K11/E11*100</f>
        <v>99.346684591094942</v>
      </c>
      <c r="S11" s="1292">
        <f>L11/F11*100</f>
        <v>100</v>
      </c>
    </row>
    <row r="12" spans="1:20" s="37" customFormat="1" ht="27" customHeight="1">
      <c r="A12" s="155">
        <v>2</v>
      </c>
      <c r="B12" s="167" t="str">
        <f>+'56'!B10</f>
        <v>Phòng Kinh tế</v>
      </c>
      <c r="C12" s="1271">
        <f t="shared" ref="C12:C25" si="7">SUM(D12:F12)</f>
        <v>28070.138271000003</v>
      </c>
      <c r="D12" s="1271">
        <f>+'55'!C13+'55'!C14+'55'!C15+'55'!C16</f>
        <v>4126.5930420000004</v>
      </c>
      <c r="E12" s="1271">
        <v>7047.9931889999998</v>
      </c>
      <c r="F12" s="1271">
        <f>SUM(G12:H12)</f>
        <v>16895.552040000002</v>
      </c>
      <c r="G12" s="1271">
        <f>+'55'!C10+'55'!C11+'55'!C12</f>
        <v>8501.5621040000005</v>
      </c>
      <c r="H12" s="1271">
        <f>15441.983125-E12</f>
        <v>8393.9899360000018</v>
      </c>
      <c r="I12" s="1271">
        <f t="shared" ref="I12:I31" si="8">J12+K12+L12+O12</f>
        <v>26839.305569</v>
      </c>
      <c r="J12" s="1271">
        <f>+'55'!D16+'55'!D15+'55'!D14+'55'!D13</f>
        <v>3916.709942</v>
      </c>
      <c r="K12" s="1271">
        <v>6633.3322900000003</v>
      </c>
      <c r="L12" s="1271">
        <f t="shared" si="4"/>
        <v>16289.263337</v>
      </c>
      <c r="M12" s="1271">
        <f>+'55'!D10+'55'!D11+'55'!D12</f>
        <v>8214.3579040000004</v>
      </c>
      <c r="N12" s="1271">
        <v>8074.9054329999999</v>
      </c>
      <c r="O12" s="1274">
        <v>0</v>
      </c>
      <c r="P12" s="1275">
        <f t="shared" si="5"/>
        <v>95.615152693167843</v>
      </c>
      <c r="Q12" s="1275"/>
      <c r="R12" s="1275">
        <f t="shared" si="6"/>
        <v>94.116610389930969</v>
      </c>
      <c r="S12" s="1276">
        <f>L12/F12*100</f>
        <v>96.411548426682828</v>
      </c>
      <c r="T12" s="380"/>
    </row>
    <row r="13" spans="1:20" s="37" customFormat="1" ht="32.25" customHeight="1">
      <c r="A13" s="155">
        <v>3</v>
      </c>
      <c r="B13" s="167" t="str">
        <f>+'56'!B11</f>
        <v>Phòng Văn hóa - XH</v>
      </c>
      <c r="C13" s="1271">
        <f t="shared" si="7"/>
        <v>8125.9440210000002</v>
      </c>
      <c r="D13" s="1271"/>
      <c r="E13" s="1271">
        <v>5378.6836810000004</v>
      </c>
      <c r="F13" s="1271">
        <f>SUM(G13:H13)</f>
        <v>2747.2603399999998</v>
      </c>
      <c r="G13" s="1284">
        <f>+'55'!C17</f>
        <v>1188</v>
      </c>
      <c r="H13" s="1284">
        <v>1559.26034</v>
      </c>
      <c r="I13" s="1271">
        <f>+J13+K13+L13+O13</f>
        <v>6728.4947439999996</v>
      </c>
      <c r="J13" s="1271">
        <v>0</v>
      </c>
      <c r="K13" s="1271">
        <v>4126.3110659999993</v>
      </c>
      <c r="L13" s="1271">
        <f t="shared" si="4"/>
        <v>2512.1836780000003</v>
      </c>
      <c r="M13" s="1271">
        <f>+'55'!D17</f>
        <v>1056</v>
      </c>
      <c r="N13" s="1271">
        <v>1456.1836780000001</v>
      </c>
      <c r="O13" s="1271">
        <v>90</v>
      </c>
      <c r="P13" s="1275">
        <f t="shared" si="5"/>
        <v>82.802622398227811</v>
      </c>
      <c r="Q13" s="1275"/>
      <c r="R13" s="1275">
        <f>K13/E13*100</f>
        <v>76.716001734328415</v>
      </c>
      <c r="S13" s="1276">
        <f>L13/F13*100</f>
        <v>91.44323315204997</v>
      </c>
      <c r="T13" s="380"/>
    </row>
    <row r="14" spans="1:20" s="37" customFormat="1" ht="33.75" customHeight="1">
      <c r="A14" s="155">
        <v>4</v>
      </c>
      <c r="B14" s="167" t="str">
        <f>+'56'!B12</f>
        <v>Trung tâm phục vụ Hành chính công</v>
      </c>
      <c r="C14" s="1271">
        <f>SUM(D14:F14)</f>
        <v>1717.861568</v>
      </c>
      <c r="D14" s="1271"/>
      <c r="E14" s="1271">
        <f>+'56'!C12</f>
        <v>1717.861568</v>
      </c>
      <c r="F14" s="1272">
        <f>SUM(G14:H14)</f>
        <v>0</v>
      </c>
      <c r="G14" s="1272"/>
      <c r="H14" s="1272"/>
      <c r="I14" s="1271">
        <f>J14+K14+L14+O14</f>
        <v>1717.861568</v>
      </c>
      <c r="J14" s="1271"/>
      <c r="K14" s="1271">
        <f>+'56'!D12</f>
        <v>1717.861568</v>
      </c>
      <c r="L14" s="1271">
        <f>SUM(M14:N14)</f>
        <v>0</v>
      </c>
      <c r="M14" s="1271"/>
      <c r="N14" s="1273"/>
      <c r="O14" s="1274"/>
      <c r="P14" s="1275">
        <f>I14/C14*100</f>
        <v>100</v>
      </c>
      <c r="Q14" s="1275"/>
      <c r="R14" s="1275">
        <f>K14/E14*100</f>
        <v>100</v>
      </c>
      <c r="S14" s="1276"/>
    </row>
    <row r="15" spans="1:20" s="37" customFormat="1" ht="23.25" customHeight="1">
      <c r="A15" s="155">
        <v>5</v>
      </c>
      <c r="B15" s="167" t="str">
        <f>+'56'!B13</f>
        <v>Văn phòng Đảng ủy</v>
      </c>
      <c r="C15" s="1271">
        <f t="shared" si="7"/>
        <v>5063.2481289999996</v>
      </c>
      <c r="D15" s="1271"/>
      <c r="E15" s="1271">
        <f>+'56'!C13</f>
        <v>5063.2481289999996</v>
      </c>
      <c r="F15" s="1272">
        <f t="shared" ref="F15:F25" si="9">SUM(G15:H15)</f>
        <v>0</v>
      </c>
      <c r="G15" s="1272"/>
      <c r="H15" s="1272"/>
      <c r="I15" s="1271">
        <f>J15+K15+L15+O15</f>
        <v>5063.2481289999996</v>
      </c>
      <c r="J15" s="1271"/>
      <c r="K15" s="1271">
        <f>+'56'!D13</f>
        <v>5063.2481289999996</v>
      </c>
      <c r="L15" s="1271"/>
      <c r="M15" s="1271"/>
      <c r="N15" s="1272"/>
      <c r="O15" s="1274"/>
      <c r="P15" s="1275">
        <f t="shared" si="5"/>
        <v>100</v>
      </c>
      <c r="Q15" s="1275"/>
      <c r="R15" s="1275">
        <f t="shared" si="6"/>
        <v>100</v>
      </c>
      <c r="S15" s="1276"/>
    </row>
    <row r="16" spans="1:20" s="37" customFormat="1" ht="33" customHeight="1">
      <c r="A16" s="155">
        <v>6</v>
      </c>
      <c r="B16" s="167" t="str">
        <f>+'56'!B14</f>
        <v>Ủy ban Mặt trận Tổ quốc VN xã</v>
      </c>
      <c r="C16" s="1271">
        <f t="shared" si="7"/>
        <v>3590.6901200000002</v>
      </c>
      <c r="D16" s="1271"/>
      <c r="E16" s="1271">
        <v>3192.00108</v>
      </c>
      <c r="F16" s="1271">
        <f t="shared" si="9"/>
        <v>398.68903999999998</v>
      </c>
      <c r="G16" s="1272"/>
      <c r="H16" s="1271">
        <v>398.68903999999998</v>
      </c>
      <c r="I16" s="1271">
        <f t="shared" si="8"/>
        <v>3585.5886799999998</v>
      </c>
      <c r="J16" s="1271"/>
      <c r="K16" s="1271">
        <v>3186.8996400000001</v>
      </c>
      <c r="L16" s="1271">
        <f t="shared" si="4"/>
        <v>398.68903999999998</v>
      </c>
      <c r="M16" s="1271"/>
      <c r="N16" s="1271">
        <v>398.68903999999998</v>
      </c>
      <c r="O16" s="1274">
        <v>0</v>
      </c>
      <c r="P16" s="1275">
        <f t="shared" si="5"/>
        <v>99.857925918708901</v>
      </c>
      <c r="Q16" s="1275"/>
      <c r="R16" s="1275">
        <f t="shared" si="6"/>
        <v>99.840180505202085</v>
      </c>
      <c r="S16" s="1276">
        <f>L16/F16*100</f>
        <v>100</v>
      </c>
    </row>
    <row r="17" spans="1:19" s="37" customFormat="1" ht="27" customHeight="1">
      <c r="A17" s="155">
        <v>7</v>
      </c>
      <c r="B17" s="167" t="str">
        <f>+'56'!B15</f>
        <v>Trường Mầm non Cường Lợi</v>
      </c>
      <c r="C17" s="1271">
        <f>SUM(D17:F17)</f>
        <v>3729.4035239999998</v>
      </c>
      <c r="D17" s="1271"/>
      <c r="E17" s="1271">
        <f>+'56'!C15</f>
        <v>3729.4035239999998</v>
      </c>
      <c r="F17" s="1272">
        <f t="shared" si="9"/>
        <v>0</v>
      </c>
      <c r="G17" s="1272"/>
      <c r="H17" s="1272"/>
      <c r="I17" s="1271">
        <f>J17+K17+L17+O17</f>
        <v>3728.0435240000002</v>
      </c>
      <c r="J17" s="1271"/>
      <c r="K17" s="1271">
        <f>+'56'!D15</f>
        <v>3728.0435240000002</v>
      </c>
      <c r="L17" s="1271">
        <f t="shared" si="4"/>
        <v>0</v>
      </c>
      <c r="M17" s="1271"/>
      <c r="N17" s="1273"/>
      <c r="O17" s="1271"/>
      <c r="P17" s="1277">
        <f>I17/C17*100</f>
        <v>99.963533042449086</v>
      </c>
      <c r="Q17" s="1277"/>
      <c r="R17" s="1277">
        <f t="shared" si="6"/>
        <v>99.963533042449086</v>
      </c>
      <c r="S17" s="1276"/>
    </row>
    <row r="18" spans="1:19" s="37" customFormat="1" ht="30" customHeight="1">
      <c r="A18" s="155">
        <v>8</v>
      </c>
      <c r="B18" s="167" t="str">
        <f>+'56'!B16</f>
        <v>Trường Mầm non Văn Vũ</v>
      </c>
      <c r="C18" s="1271">
        <f t="shared" si="7"/>
        <v>6402.1213269999998</v>
      </c>
      <c r="D18" s="1271"/>
      <c r="E18" s="1271">
        <f>+'56'!C16</f>
        <v>6402.1213269999998</v>
      </c>
      <c r="F18" s="1272">
        <f t="shared" si="9"/>
        <v>0</v>
      </c>
      <c r="G18" s="1272"/>
      <c r="H18" s="1272"/>
      <c r="I18" s="1271">
        <f t="shared" si="8"/>
        <v>6398.4933270000001</v>
      </c>
      <c r="J18" s="1271"/>
      <c r="K18" s="1271">
        <f>+'56'!D16</f>
        <v>6398.4933270000001</v>
      </c>
      <c r="L18" s="1271">
        <f t="shared" si="4"/>
        <v>0</v>
      </c>
      <c r="M18" s="1271"/>
      <c r="N18" s="1273">
        <v>0</v>
      </c>
      <c r="O18" s="1271"/>
      <c r="P18" s="1275">
        <f>I18/C18*100</f>
        <v>99.943331283262324</v>
      </c>
      <c r="Q18" s="1275"/>
      <c r="R18" s="1275">
        <f t="shared" si="6"/>
        <v>99.943331283262324</v>
      </c>
      <c r="S18" s="1276"/>
    </row>
    <row r="19" spans="1:19" s="37" customFormat="1" ht="26.25" customHeight="1">
      <c r="A19" s="155">
        <v>9</v>
      </c>
      <c r="B19" s="167" t="str">
        <f>+'56'!B17</f>
        <v>Trường TH&amp;THCS Cường Lợi</v>
      </c>
      <c r="C19" s="1271">
        <f t="shared" si="7"/>
        <v>6474.0260369999996</v>
      </c>
      <c r="D19" s="1271"/>
      <c r="E19" s="1271">
        <f>+'56'!C17</f>
        <v>6474.0260369999996</v>
      </c>
      <c r="F19" s="1272">
        <f t="shared" si="9"/>
        <v>0</v>
      </c>
      <c r="G19" s="1272"/>
      <c r="H19" s="1272"/>
      <c r="I19" s="1271">
        <f>J19+K19+L19+O19</f>
        <v>6467.5079269999997</v>
      </c>
      <c r="J19" s="1271"/>
      <c r="K19" s="1271">
        <f>+'56'!D17</f>
        <v>5867.1328659999999</v>
      </c>
      <c r="L19" s="1271">
        <f t="shared" si="4"/>
        <v>0</v>
      </c>
      <c r="M19" s="1271"/>
      <c r="N19" s="1273"/>
      <c r="O19" s="1271">
        <v>600.37506099999996</v>
      </c>
      <c r="P19" s="1275">
        <f t="shared" si="5"/>
        <v>99.899319064168907</v>
      </c>
      <c r="Q19" s="1275"/>
      <c r="R19" s="1275">
        <f>K19/E19*100</f>
        <v>90.625722424786105</v>
      </c>
      <c r="S19" s="1276"/>
    </row>
    <row r="20" spans="1:19" s="37" customFormat="1" ht="26.25" customHeight="1">
      <c r="A20" s="155">
        <v>10</v>
      </c>
      <c r="B20" s="167" t="str">
        <f>+'56'!B18</f>
        <v>Trường PTDTBT TH Văn Vũ</v>
      </c>
      <c r="C20" s="1271">
        <f t="shared" si="7"/>
        <v>10165.748955999999</v>
      </c>
      <c r="D20" s="1271"/>
      <c r="E20" s="1271">
        <f>+'56'!C18</f>
        <v>10165.748955999999</v>
      </c>
      <c r="F20" s="1272">
        <f t="shared" si="9"/>
        <v>0</v>
      </c>
      <c r="G20" s="1272"/>
      <c r="H20" s="1272"/>
      <c r="I20" s="1271">
        <f t="shared" si="8"/>
        <v>10138.338873999999</v>
      </c>
      <c r="J20" s="1271"/>
      <c r="K20" s="1271">
        <f>+'56'!D18</f>
        <v>10138.338873999999</v>
      </c>
      <c r="L20" s="1271">
        <f t="shared" si="4"/>
        <v>0</v>
      </c>
      <c r="M20" s="1271"/>
      <c r="N20" s="1273">
        <v>0</v>
      </c>
      <c r="O20" s="1271"/>
      <c r="P20" s="1275">
        <f t="shared" si="5"/>
        <v>99.730368297322329</v>
      </c>
      <c r="Q20" s="1275"/>
      <c r="R20" s="1275">
        <f t="shared" si="6"/>
        <v>99.730368297322329</v>
      </c>
      <c r="S20" s="1276"/>
    </row>
    <row r="21" spans="1:19" s="37" customFormat="1" ht="30.75" customHeight="1">
      <c r="A21" s="155">
        <v>11</v>
      </c>
      <c r="B21" s="167" t="str">
        <f>+'56'!B19</f>
        <v>Trường PTDTBT THCS Văn Vũ</v>
      </c>
      <c r="C21" s="1271">
        <f t="shared" si="7"/>
        <v>9225.8364399999991</v>
      </c>
      <c r="D21" s="1271"/>
      <c r="E21" s="1271">
        <f>+'56'!C19</f>
        <v>9225.8364399999991</v>
      </c>
      <c r="F21" s="1272">
        <f t="shared" si="9"/>
        <v>0</v>
      </c>
      <c r="G21" s="1272"/>
      <c r="H21" s="1272"/>
      <c r="I21" s="1271">
        <f t="shared" si="8"/>
        <v>9139.1264069999997</v>
      </c>
      <c r="J21" s="1271"/>
      <c r="K21" s="1271">
        <f>+'56'!D19</f>
        <v>9139.1264069999997</v>
      </c>
      <c r="L21" s="1271">
        <f t="shared" si="4"/>
        <v>0</v>
      </c>
      <c r="M21" s="1271"/>
      <c r="N21" s="1273"/>
      <c r="O21" s="1271"/>
      <c r="P21" s="1275">
        <f t="shared" si="5"/>
        <v>99.060139060952196</v>
      </c>
      <c r="Q21" s="1275"/>
      <c r="R21" s="1275">
        <f t="shared" si="6"/>
        <v>99.060139060952196</v>
      </c>
      <c r="S21" s="1276"/>
    </row>
    <row r="22" spans="1:19" s="37" customFormat="1" ht="26.25" customHeight="1">
      <c r="A22" s="155">
        <v>12</v>
      </c>
      <c r="B22" s="167" t="str">
        <f>+'56'!B20</f>
        <v xml:space="preserve">Trung tâm học tập cộng đồng </v>
      </c>
      <c r="C22" s="1271">
        <f t="shared" si="7"/>
        <v>3.407</v>
      </c>
      <c r="D22" s="1271"/>
      <c r="E22" s="1271">
        <f>+'56'!C20</f>
        <v>3.407</v>
      </c>
      <c r="F22" s="1272">
        <f t="shared" si="9"/>
        <v>0</v>
      </c>
      <c r="G22" s="1272"/>
      <c r="H22" s="1272"/>
      <c r="I22" s="1271">
        <f t="shared" si="8"/>
        <v>3.407</v>
      </c>
      <c r="J22" s="1271"/>
      <c r="K22" s="1271">
        <f>+'56'!D20</f>
        <v>3.407</v>
      </c>
      <c r="L22" s="1271">
        <f t="shared" si="4"/>
        <v>0</v>
      </c>
      <c r="M22" s="1271"/>
      <c r="N22" s="1273"/>
      <c r="O22" s="1274"/>
      <c r="P22" s="1275">
        <f t="shared" si="5"/>
        <v>100</v>
      </c>
      <c r="Q22" s="1275"/>
      <c r="R22" s="1275">
        <f t="shared" si="6"/>
        <v>100</v>
      </c>
      <c r="S22" s="1276"/>
    </row>
    <row r="23" spans="1:19" s="37" customFormat="1" ht="26.25" customHeight="1">
      <c r="A23" s="155">
        <v>13</v>
      </c>
      <c r="B23" s="167" t="str">
        <f>+'56'!B21</f>
        <v>Các đơn vị khác (cấp lệnh chi)</v>
      </c>
      <c r="C23" s="1271">
        <f t="shared" si="7"/>
        <v>310</v>
      </c>
      <c r="D23" s="1271"/>
      <c r="E23" s="1271">
        <f>+'56'!C21</f>
        <v>310</v>
      </c>
      <c r="F23" s="1272">
        <f t="shared" si="9"/>
        <v>0</v>
      </c>
      <c r="G23" s="1272"/>
      <c r="H23" s="1272"/>
      <c r="I23" s="1271">
        <f t="shared" si="8"/>
        <v>310</v>
      </c>
      <c r="J23" s="1271"/>
      <c r="K23" s="1271">
        <f>+'56'!D21</f>
        <v>310</v>
      </c>
      <c r="L23" s="1271">
        <f t="shared" si="4"/>
        <v>0</v>
      </c>
      <c r="M23" s="1271"/>
      <c r="N23" s="1273"/>
      <c r="O23" s="1274"/>
      <c r="P23" s="1275">
        <f t="shared" si="5"/>
        <v>100</v>
      </c>
      <c r="Q23" s="1275"/>
      <c r="R23" s="1275">
        <f t="shared" si="6"/>
        <v>100</v>
      </c>
      <c r="S23" s="1276"/>
    </row>
    <row r="24" spans="1:19" s="37" customFormat="1" ht="26.25" customHeight="1">
      <c r="A24" s="1278" t="s">
        <v>60</v>
      </c>
      <c r="B24" s="167" t="str">
        <f>+'56'!B22</f>
        <v>Ủy ban Mặt trận Tổ quốc VN xã</v>
      </c>
      <c r="C24" s="1271">
        <f t="shared" si="7"/>
        <v>300</v>
      </c>
      <c r="D24" s="1271"/>
      <c r="E24" s="1271">
        <f>+'56'!C22</f>
        <v>300</v>
      </c>
      <c r="F24" s="1272">
        <f t="shared" si="9"/>
        <v>0</v>
      </c>
      <c r="G24" s="1272"/>
      <c r="H24" s="1272"/>
      <c r="I24" s="1271">
        <f t="shared" si="8"/>
        <v>300</v>
      </c>
      <c r="J24" s="1271"/>
      <c r="K24" s="1271">
        <f>+'56'!D22</f>
        <v>300</v>
      </c>
      <c r="L24" s="1271">
        <f t="shared" si="4"/>
        <v>0</v>
      </c>
      <c r="M24" s="1271"/>
      <c r="N24" s="1273"/>
      <c r="O24" s="1274"/>
      <c r="P24" s="1275">
        <f t="shared" si="5"/>
        <v>100</v>
      </c>
      <c r="Q24" s="1275"/>
      <c r="R24" s="1275">
        <f t="shared" si="6"/>
        <v>100</v>
      </c>
      <c r="S24" s="1276"/>
    </row>
    <row r="25" spans="1:19" s="37" customFormat="1" ht="26.25" customHeight="1">
      <c r="A25" s="1278" t="s">
        <v>60</v>
      </c>
      <c r="B25" s="167" t="str">
        <f>+'56'!B23</f>
        <v>Phòng giao dịch số 8-KBNN KV II</v>
      </c>
      <c r="C25" s="1271">
        <f t="shared" si="7"/>
        <v>10</v>
      </c>
      <c r="D25" s="1271"/>
      <c r="E25" s="1271">
        <f>+'56'!C23</f>
        <v>10</v>
      </c>
      <c r="F25" s="1272">
        <f t="shared" si="9"/>
        <v>0</v>
      </c>
      <c r="G25" s="1272"/>
      <c r="H25" s="1272"/>
      <c r="I25" s="1271">
        <f t="shared" si="8"/>
        <v>10</v>
      </c>
      <c r="J25" s="1271"/>
      <c r="K25" s="1271">
        <f>+'56'!D23</f>
        <v>10</v>
      </c>
      <c r="L25" s="1271">
        <f t="shared" si="4"/>
        <v>0</v>
      </c>
      <c r="M25" s="1271"/>
      <c r="N25" s="1273"/>
      <c r="O25" s="1274"/>
      <c r="P25" s="1275">
        <f t="shared" si="5"/>
        <v>100</v>
      </c>
      <c r="Q25" s="1275"/>
      <c r="R25" s="1275">
        <f t="shared" si="6"/>
        <v>100</v>
      </c>
      <c r="S25" s="1276"/>
    </row>
    <row r="26" spans="1:19" s="951" customFormat="1" ht="40.5" customHeight="1">
      <c r="A26" s="1279" t="s">
        <v>139</v>
      </c>
      <c r="B26" s="1280" t="s">
        <v>1123</v>
      </c>
      <c r="C26" s="983"/>
      <c r="D26" s="988"/>
      <c r="E26" s="983"/>
      <c r="F26" s="985"/>
      <c r="G26" s="985"/>
      <c r="H26" s="985"/>
      <c r="I26" s="983"/>
      <c r="J26" s="983"/>
      <c r="K26" s="983"/>
      <c r="L26" s="983"/>
      <c r="M26" s="983"/>
      <c r="N26" s="983"/>
      <c r="O26" s="984"/>
      <c r="P26" s="986"/>
      <c r="Q26" s="986"/>
      <c r="R26" s="986"/>
      <c r="S26" s="987"/>
    </row>
    <row r="27" spans="1:19" s="951" customFormat="1" ht="27" customHeight="1">
      <c r="A27" s="1279" t="s">
        <v>62</v>
      </c>
      <c r="B27" s="1280" t="s">
        <v>1124</v>
      </c>
      <c r="C27" s="983"/>
      <c r="D27" s="983"/>
      <c r="E27" s="983"/>
      <c r="F27" s="985"/>
      <c r="G27" s="985"/>
      <c r="H27" s="985"/>
      <c r="I27" s="983"/>
      <c r="J27" s="983"/>
      <c r="K27" s="983"/>
      <c r="L27" s="983"/>
      <c r="M27" s="983"/>
      <c r="N27" s="988"/>
      <c r="O27" s="984"/>
      <c r="P27" s="986"/>
      <c r="Q27" s="986"/>
      <c r="R27" s="986"/>
      <c r="S27" s="987"/>
    </row>
    <row r="28" spans="1:19" s="951" customFormat="1" ht="27" customHeight="1">
      <c r="A28" s="1279" t="s">
        <v>63</v>
      </c>
      <c r="B28" s="1280" t="s">
        <v>1143</v>
      </c>
      <c r="C28" s="983"/>
      <c r="D28" s="983"/>
      <c r="E28" s="983"/>
      <c r="F28" s="985"/>
      <c r="G28" s="985"/>
      <c r="H28" s="985"/>
      <c r="I28" s="983"/>
      <c r="J28" s="983"/>
      <c r="K28" s="983"/>
      <c r="L28" s="983"/>
      <c r="M28" s="983"/>
      <c r="N28" s="988"/>
      <c r="O28" s="984"/>
      <c r="P28" s="986"/>
      <c r="Q28" s="986"/>
      <c r="R28" s="986"/>
      <c r="S28" s="987"/>
    </row>
    <row r="29" spans="1:19" s="951" customFormat="1" ht="27" customHeight="1">
      <c r="A29" s="1279" t="s">
        <v>67</v>
      </c>
      <c r="B29" s="1280" t="s">
        <v>269</v>
      </c>
      <c r="C29" s="983"/>
      <c r="D29" s="983"/>
      <c r="E29" s="983"/>
      <c r="F29" s="985"/>
      <c r="G29" s="985"/>
      <c r="H29" s="985"/>
      <c r="I29" s="983"/>
      <c r="J29" s="983"/>
      <c r="K29" s="983"/>
      <c r="L29" s="983"/>
      <c r="M29" s="983"/>
      <c r="N29" s="988"/>
      <c r="O29" s="984"/>
      <c r="P29" s="986"/>
      <c r="Q29" s="986"/>
      <c r="R29" s="986"/>
      <c r="S29" s="987"/>
    </row>
    <row r="30" spans="1:19" s="951" customFormat="1" ht="39" customHeight="1">
      <c r="A30" s="1279" t="s">
        <v>234</v>
      </c>
      <c r="B30" s="1280" t="s">
        <v>1125</v>
      </c>
      <c r="C30" s="1271"/>
      <c r="D30" s="983"/>
      <c r="E30" s="1271"/>
      <c r="F30" s="985"/>
      <c r="G30" s="985"/>
      <c r="H30" s="985"/>
      <c r="I30" s="1271">
        <f t="shared" si="8"/>
        <v>180.12299999999999</v>
      </c>
      <c r="J30" s="983"/>
      <c r="K30" s="1271">
        <v>180.12299999999999</v>
      </c>
      <c r="L30" s="983"/>
      <c r="M30" s="983"/>
      <c r="N30" s="988"/>
      <c r="O30" s="984"/>
      <c r="P30" s="986"/>
      <c r="Q30" s="986"/>
      <c r="R30" s="986"/>
      <c r="S30" s="987"/>
    </row>
    <row r="31" spans="1:19" s="951" customFormat="1" ht="21">
      <c r="A31" s="1281" t="s">
        <v>346</v>
      </c>
      <c r="B31" s="1282" t="s">
        <v>355</v>
      </c>
      <c r="C31" s="1266"/>
      <c r="D31" s="1266"/>
      <c r="E31" s="1266"/>
      <c r="F31" s="1267"/>
      <c r="G31" s="1267"/>
      <c r="H31" s="1267"/>
      <c r="I31" s="1283">
        <f t="shared" si="8"/>
        <v>6834.0473460000003</v>
      </c>
      <c r="J31" s="1266"/>
      <c r="K31" s="1266"/>
      <c r="L31" s="1266"/>
      <c r="M31" s="1266"/>
      <c r="N31" s="1268"/>
      <c r="O31" s="1283">
        <f>7524.422407-O19-O13</f>
        <v>6834.0473460000003</v>
      </c>
      <c r="P31" s="1269"/>
      <c r="Q31" s="1269"/>
      <c r="R31" s="1269"/>
      <c r="S31" s="1270"/>
    </row>
  </sheetData>
  <mergeCells count="23">
    <mergeCell ref="A3:S3"/>
    <mergeCell ref="I6:I7"/>
    <mergeCell ref="P5:S5"/>
    <mergeCell ref="S6:S7"/>
    <mergeCell ref="J6:J7"/>
    <mergeCell ref="K6:K7"/>
    <mergeCell ref="L6:N6"/>
    <mergeCell ref="G1:H1"/>
    <mergeCell ref="P4:S4"/>
    <mergeCell ref="E6:E7"/>
    <mergeCell ref="F6:H6"/>
    <mergeCell ref="Q6:Q7"/>
    <mergeCell ref="N1:O1"/>
    <mergeCell ref="A2:R2"/>
    <mergeCell ref="A5:A7"/>
    <mergeCell ref="B5:B7"/>
    <mergeCell ref="C5:H5"/>
    <mergeCell ref="C6:C7"/>
    <mergeCell ref="D6:D7"/>
    <mergeCell ref="O6:O7"/>
    <mergeCell ref="R6:R7"/>
    <mergeCell ref="I5:O5"/>
    <mergeCell ref="P6:P7"/>
  </mergeCells>
  <phoneticPr fontId="31" type="noConversion"/>
  <pageMargins left="0.3" right="0.2" top="0.71" bottom="0.3" header="0.3" footer="0.19"/>
  <pageSetup paperSize="8" scale="90" firstPageNumber="157" orientation="landscape" useFirstPageNumber="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0"/>
  </sheetPr>
  <dimension ref="A1:V19"/>
  <sheetViews>
    <sheetView view="pageBreakPreview" topLeftCell="A9" zoomScale="60" zoomScaleNormal="85" workbookViewId="0">
      <selection activeCell="V11" sqref="V11"/>
    </sheetView>
  </sheetViews>
  <sheetFormatPr defaultColWidth="9.28515625" defaultRowHeight="15"/>
  <cols>
    <col min="1" max="1" width="4.7109375" style="952" customWidth="1"/>
    <col min="2" max="2" width="19.7109375" style="952" customWidth="1"/>
    <col min="3" max="3" width="14.7109375" style="968" customWidth="1"/>
    <col min="4" max="5" width="16.7109375" style="952" customWidth="1"/>
    <col min="6" max="6" width="6.42578125" style="952" customWidth="1"/>
    <col min="7" max="7" width="7.7109375" style="952" customWidth="1"/>
    <col min="8" max="8" width="14.42578125" style="952" customWidth="1"/>
    <col min="9" max="9" width="7.5703125" style="952" customWidth="1"/>
    <col min="10" max="10" width="15.42578125" style="952" customWidth="1"/>
    <col min="11" max="11" width="8" style="952" customWidth="1"/>
    <col min="12" max="12" width="6.5703125" style="952" customWidth="1"/>
    <col min="13" max="13" width="8.28515625" style="952" customWidth="1"/>
    <col min="14" max="14" width="13.7109375" style="952" customWidth="1"/>
    <col min="15" max="15" width="14" style="952" customWidth="1"/>
    <col min="16" max="16" width="12.85546875" style="951" customWidth="1"/>
    <col min="17" max="17" width="14.85546875" style="951" customWidth="1"/>
    <col min="18" max="18" width="6.7109375" style="952" customWidth="1"/>
    <col min="19" max="19" width="9.28515625" style="952" customWidth="1"/>
    <col min="20" max="20" width="7.5703125" style="952" customWidth="1"/>
    <col min="21" max="21" width="14.5703125" style="952" bestFit="1" customWidth="1"/>
    <col min="22" max="22" width="13.7109375" style="952" bestFit="1" customWidth="1"/>
    <col min="23" max="16384" width="9.28515625" style="952"/>
  </cols>
  <sheetData>
    <row r="1" spans="1:22" s="33" customFormat="1" ht="24.75" customHeight="1">
      <c r="A1" s="1791" t="s">
        <v>972</v>
      </c>
      <c r="B1" s="1791"/>
      <c r="C1" s="1791"/>
      <c r="P1" s="37"/>
      <c r="Q1" s="1792" t="s">
        <v>1430</v>
      </c>
      <c r="R1" s="1792"/>
      <c r="S1" s="1792"/>
      <c r="T1" s="1792"/>
    </row>
    <row r="2" spans="1:22" s="33" customFormat="1" ht="23.25" customHeight="1">
      <c r="A2" s="1813" t="s">
        <v>1111</v>
      </c>
      <c r="B2" s="1813"/>
      <c r="C2" s="1813"/>
      <c r="D2" s="1813"/>
      <c r="E2" s="1813"/>
      <c r="F2" s="1813"/>
      <c r="G2" s="1813"/>
      <c r="H2" s="1813"/>
      <c r="I2" s="1813"/>
      <c r="J2" s="1813"/>
      <c r="K2" s="1813"/>
      <c r="L2" s="1813"/>
      <c r="M2" s="1813"/>
      <c r="N2" s="1813"/>
      <c r="O2" s="1813"/>
      <c r="P2" s="1813"/>
      <c r="Q2" s="1813"/>
      <c r="R2" s="1813"/>
      <c r="S2" s="1813"/>
      <c r="T2" s="1813"/>
    </row>
    <row r="3" spans="1:22" s="33" customFormat="1" ht="27" customHeight="1">
      <c r="A3" s="1749" t="str">
        <f>+'49'!A3:E3</f>
        <v>(Kèm theo Báo cáo số 151/BC-UBND ngày 20/3/2026 của UBND xã Cường Lợi)</v>
      </c>
      <c r="B3" s="1749"/>
      <c r="C3" s="1749"/>
      <c r="D3" s="1749"/>
      <c r="E3" s="1749"/>
      <c r="F3" s="1749"/>
      <c r="G3" s="1749"/>
      <c r="H3" s="1749"/>
      <c r="I3" s="1749"/>
      <c r="J3" s="1749"/>
      <c r="K3" s="1749"/>
      <c r="L3" s="1749"/>
      <c r="M3" s="1749"/>
      <c r="N3" s="1749"/>
      <c r="O3" s="1749"/>
      <c r="P3" s="1749"/>
      <c r="Q3" s="1749"/>
      <c r="R3" s="1749"/>
      <c r="S3" s="1749"/>
      <c r="T3" s="1749"/>
    </row>
    <row r="4" spans="1:22" s="33" customFormat="1" ht="15.75">
      <c r="C4" s="1232"/>
      <c r="D4" s="1223"/>
      <c r="E4" s="1224"/>
      <c r="F4" s="1224"/>
      <c r="G4" s="1224"/>
      <c r="H4" s="1225"/>
      <c r="I4" s="1224"/>
      <c r="J4" s="1224"/>
      <c r="K4" s="1224"/>
      <c r="L4" s="1224"/>
      <c r="M4" s="1224"/>
      <c r="N4" s="1226"/>
      <c r="O4" s="1224"/>
      <c r="P4" s="1225"/>
      <c r="Q4" s="1227"/>
      <c r="T4" s="1228" t="s">
        <v>290</v>
      </c>
    </row>
    <row r="5" spans="1:22" s="33" customFormat="1" ht="27" customHeight="1">
      <c r="A5" s="1811" t="s">
        <v>291</v>
      </c>
      <c r="B5" s="1811" t="s">
        <v>236</v>
      </c>
      <c r="C5" s="1812" t="s">
        <v>293</v>
      </c>
      <c r="D5" s="1811" t="s">
        <v>136</v>
      </c>
      <c r="E5" s="1811" t="s">
        <v>221</v>
      </c>
      <c r="F5" s="1811" t="s">
        <v>273</v>
      </c>
      <c r="G5" s="1811" t="s">
        <v>274</v>
      </c>
      <c r="H5" s="1811" t="s">
        <v>342</v>
      </c>
      <c r="I5" s="1811" t="s">
        <v>348</v>
      </c>
      <c r="J5" s="1811" t="s">
        <v>349</v>
      </c>
      <c r="K5" s="1811" t="s">
        <v>312</v>
      </c>
      <c r="L5" s="1811" t="s">
        <v>343</v>
      </c>
      <c r="M5" s="1811" t="s">
        <v>350</v>
      </c>
      <c r="N5" s="1811" t="s">
        <v>344</v>
      </c>
      <c r="O5" s="1811" t="s">
        <v>231</v>
      </c>
      <c r="P5" s="1811"/>
      <c r="Q5" s="1811" t="s">
        <v>313</v>
      </c>
      <c r="R5" s="1811" t="s">
        <v>74</v>
      </c>
      <c r="S5" s="1811" t="s">
        <v>314</v>
      </c>
      <c r="T5" s="1811" t="s">
        <v>158</v>
      </c>
    </row>
    <row r="6" spans="1:22" s="33" customFormat="1" ht="74.25" customHeight="1">
      <c r="A6" s="1811"/>
      <c r="B6" s="1811"/>
      <c r="C6" s="1812"/>
      <c r="D6" s="1811"/>
      <c r="E6" s="1811"/>
      <c r="F6" s="1811"/>
      <c r="G6" s="1811"/>
      <c r="H6" s="1811"/>
      <c r="I6" s="1811"/>
      <c r="J6" s="1811"/>
      <c r="K6" s="1811"/>
      <c r="L6" s="1811"/>
      <c r="M6" s="1811"/>
      <c r="N6" s="1811"/>
      <c r="O6" s="1233" t="s">
        <v>77</v>
      </c>
      <c r="P6" s="1233" t="s">
        <v>121</v>
      </c>
      <c r="Q6" s="1811"/>
      <c r="R6" s="1811"/>
      <c r="S6" s="1811"/>
      <c r="T6" s="1811"/>
    </row>
    <row r="7" spans="1:22" s="1229" customFormat="1" ht="22.5" customHeight="1">
      <c r="A7" s="1234" t="s">
        <v>294</v>
      </c>
      <c r="B7" s="1234" t="s">
        <v>295</v>
      </c>
      <c r="C7" s="1235">
        <v>1</v>
      </c>
      <c r="D7" s="1234">
        <v>2</v>
      </c>
      <c r="E7" s="1234">
        <v>3</v>
      </c>
      <c r="F7" s="1234">
        <v>4</v>
      </c>
      <c r="G7" s="1234">
        <v>5</v>
      </c>
      <c r="H7" s="1234">
        <v>6</v>
      </c>
      <c r="I7" s="1234">
        <v>7</v>
      </c>
      <c r="J7" s="1234">
        <v>8</v>
      </c>
      <c r="K7" s="1234">
        <v>9</v>
      </c>
      <c r="L7" s="1234">
        <v>10</v>
      </c>
      <c r="M7" s="1234">
        <v>11</v>
      </c>
      <c r="N7" s="1234">
        <v>12</v>
      </c>
      <c r="O7" s="1234">
        <v>13</v>
      </c>
      <c r="P7" s="1234">
        <v>14</v>
      </c>
      <c r="Q7" s="1234">
        <v>15</v>
      </c>
      <c r="R7" s="1234">
        <v>16</v>
      </c>
      <c r="S7" s="1234">
        <v>17</v>
      </c>
      <c r="T7" s="1234" t="s">
        <v>122</v>
      </c>
    </row>
    <row r="8" spans="1:22" s="33" customFormat="1" ht="30" customHeight="1">
      <c r="A8" s="1233"/>
      <c r="B8" s="1236" t="s">
        <v>447</v>
      </c>
      <c r="C8" s="1237">
        <f>+C9+C17</f>
        <v>13816.155145999999</v>
      </c>
      <c r="D8" s="1237">
        <f t="shared" ref="D8:Q8" si="0">+D9+D17</f>
        <v>13187.067845999998</v>
      </c>
      <c r="E8" s="1237">
        <f t="shared" si="0"/>
        <v>2959.7739230000002</v>
      </c>
      <c r="F8" s="1237">
        <f t="shared" si="0"/>
        <v>0</v>
      </c>
      <c r="G8" s="1237">
        <f t="shared" si="0"/>
        <v>0</v>
      </c>
      <c r="H8" s="1237">
        <f t="shared" si="0"/>
        <v>0</v>
      </c>
      <c r="I8" s="1237">
        <f t="shared" si="0"/>
        <v>0</v>
      </c>
      <c r="J8" s="1237">
        <f t="shared" si="0"/>
        <v>497.90660000000003</v>
      </c>
      <c r="K8" s="1237">
        <f t="shared" si="0"/>
        <v>0</v>
      </c>
      <c r="L8" s="1237">
        <f t="shared" si="0"/>
        <v>0</v>
      </c>
      <c r="M8" s="1237">
        <f t="shared" si="0"/>
        <v>0</v>
      </c>
      <c r="N8" s="1237">
        <f t="shared" si="0"/>
        <v>8673.3873230000008</v>
      </c>
      <c r="O8" s="1237">
        <f t="shared" si="0"/>
        <v>8187.1059409999998</v>
      </c>
      <c r="P8" s="1237">
        <f t="shared" si="0"/>
        <v>248.03030000000001</v>
      </c>
      <c r="Q8" s="1237">
        <f t="shared" si="0"/>
        <v>1056</v>
      </c>
      <c r="R8" s="1237">
        <f t="shared" ref="R8:S8" si="1">+R9+R17</f>
        <v>0</v>
      </c>
      <c r="S8" s="1237">
        <f t="shared" si="1"/>
        <v>0</v>
      </c>
      <c r="T8" s="1238">
        <f>D8/C8*100</f>
        <v>95.446726724242581</v>
      </c>
      <c r="U8" s="1231"/>
    </row>
    <row r="9" spans="1:22" s="39" customFormat="1" ht="36.75" customHeight="1">
      <c r="A9" s="1233">
        <v>1</v>
      </c>
      <c r="B9" s="1239" t="s">
        <v>1113</v>
      </c>
      <c r="C9" s="1237">
        <f>SUM(C10:C16)</f>
        <v>12628.155145999999</v>
      </c>
      <c r="D9" s="1237">
        <f t="shared" ref="D9:S9" si="2">SUM(D10:D16)</f>
        <v>12131.067845999998</v>
      </c>
      <c r="E9" s="1237">
        <f t="shared" si="2"/>
        <v>2959.7739230000002</v>
      </c>
      <c r="F9" s="1237">
        <f t="shared" si="2"/>
        <v>0</v>
      </c>
      <c r="G9" s="1237">
        <f t="shared" si="2"/>
        <v>0</v>
      </c>
      <c r="H9" s="1237">
        <f t="shared" si="2"/>
        <v>0</v>
      </c>
      <c r="I9" s="1237">
        <f t="shared" si="2"/>
        <v>0</v>
      </c>
      <c r="J9" s="1237">
        <f t="shared" si="2"/>
        <v>497.90660000000003</v>
      </c>
      <c r="K9" s="1237">
        <f t="shared" si="2"/>
        <v>0</v>
      </c>
      <c r="L9" s="1237">
        <f t="shared" si="2"/>
        <v>0</v>
      </c>
      <c r="M9" s="1237">
        <f t="shared" si="2"/>
        <v>0</v>
      </c>
      <c r="N9" s="1237">
        <f t="shared" si="2"/>
        <v>8673.3873230000008</v>
      </c>
      <c r="O9" s="1237">
        <f t="shared" si="2"/>
        <v>8187.1059409999998</v>
      </c>
      <c r="P9" s="1237">
        <f t="shared" si="2"/>
        <v>248.03030000000001</v>
      </c>
      <c r="Q9" s="1237">
        <f t="shared" si="2"/>
        <v>0</v>
      </c>
      <c r="R9" s="1237">
        <f t="shared" si="2"/>
        <v>0</v>
      </c>
      <c r="S9" s="1237">
        <f t="shared" si="2"/>
        <v>0</v>
      </c>
      <c r="T9" s="1240">
        <f t="shared" ref="T9:T14" si="3">+D9/C9*100</f>
        <v>96.063658592621465</v>
      </c>
    </row>
    <row r="10" spans="1:22" s="33" customFormat="1" ht="57" customHeight="1">
      <c r="A10" s="1241" t="s">
        <v>243</v>
      </c>
      <c r="B10" s="1242" t="s">
        <v>584</v>
      </c>
      <c r="C10" s="1243">
        <v>6290.2661040000003</v>
      </c>
      <c r="D10" s="1243">
        <v>6101.0179040000003</v>
      </c>
      <c r="E10" s="1243">
        <v>48.167923000000002</v>
      </c>
      <c r="F10" s="1244"/>
      <c r="G10" s="1244"/>
      <c r="H10" s="1244"/>
      <c r="I10" s="1244"/>
      <c r="J10" s="1243">
        <v>497.90660000000003</v>
      </c>
      <c r="K10" s="1244"/>
      <c r="L10" s="1244"/>
      <c r="M10" s="1244"/>
      <c r="N10" s="1244">
        <f>+O10+P10</f>
        <v>5554.943381</v>
      </c>
      <c r="O10" s="1244">
        <v>5306.9130809999997</v>
      </c>
      <c r="P10" s="1244">
        <v>248.03030000000001</v>
      </c>
      <c r="Q10" s="1244"/>
      <c r="R10" s="1244"/>
      <c r="S10" s="1244"/>
      <c r="T10" s="1238">
        <f t="shared" si="3"/>
        <v>96.991411859672255</v>
      </c>
      <c r="U10" s="1230"/>
      <c r="V10" s="1230">
        <f>+D10+D18</f>
        <v>7157.0179040000003</v>
      </c>
    </row>
    <row r="11" spans="1:22" s="33" customFormat="1" ht="53.45" customHeight="1">
      <c r="A11" s="1241" t="s">
        <v>243</v>
      </c>
      <c r="B11" s="1242" t="s">
        <v>946</v>
      </c>
      <c r="C11" s="1243">
        <f>2211.296-C12</f>
        <v>1973.1</v>
      </c>
      <c r="D11" s="1244">
        <f>2113.34-D12</f>
        <v>1875.1440000000002</v>
      </c>
      <c r="E11" s="1244"/>
      <c r="F11" s="1244"/>
      <c r="G11" s="1244"/>
      <c r="H11" s="1244"/>
      <c r="I11" s="1244"/>
      <c r="J11" s="1244"/>
      <c r="K11" s="1244"/>
      <c r="L11" s="1244"/>
      <c r="M11" s="1244"/>
      <c r="N11" s="1244">
        <v>1875.1440000000002</v>
      </c>
      <c r="O11" s="1244">
        <v>1875.1440000000002</v>
      </c>
      <c r="P11" s="1244"/>
      <c r="Q11" s="1244"/>
      <c r="R11" s="1244"/>
      <c r="S11" s="1244"/>
      <c r="T11" s="1238">
        <f t="shared" si="3"/>
        <v>95.035426486239942</v>
      </c>
      <c r="U11" s="1230"/>
      <c r="V11" s="1624"/>
    </row>
    <row r="12" spans="1:22" s="33" customFormat="1" ht="61.9" customHeight="1">
      <c r="A12" s="1241" t="s">
        <v>243</v>
      </c>
      <c r="B12" s="1242" t="s">
        <v>1115</v>
      </c>
      <c r="C12" s="1244">
        <v>238.196</v>
      </c>
      <c r="D12" s="1244">
        <v>238.196</v>
      </c>
      <c r="E12" s="1244"/>
      <c r="F12" s="1244"/>
      <c r="G12" s="1244"/>
      <c r="H12" s="1244"/>
      <c r="I12" s="1244"/>
      <c r="J12" s="1244"/>
      <c r="K12" s="1244"/>
      <c r="L12" s="1244"/>
      <c r="M12" s="1244"/>
      <c r="N12" s="1244">
        <v>238.196</v>
      </c>
      <c r="O12" s="1244">
        <v>238.196</v>
      </c>
      <c r="P12" s="1244"/>
      <c r="Q12" s="1244"/>
      <c r="R12" s="1244"/>
      <c r="S12" s="1244"/>
      <c r="T12" s="1238">
        <f>+D12/C12*100</f>
        <v>100</v>
      </c>
      <c r="U12" s="1230"/>
    </row>
    <row r="13" spans="1:22" s="33" customFormat="1" ht="97.9" customHeight="1">
      <c r="A13" s="1241" t="s">
        <v>243</v>
      </c>
      <c r="B13" s="1242" t="s">
        <v>1119</v>
      </c>
      <c r="C13" s="1244">
        <v>159.740182</v>
      </c>
      <c r="D13" s="1244">
        <v>159.740182</v>
      </c>
      <c r="E13" s="1244"/>
      <c r="F13" s="1244"/>
      <c r="G13" s="1244"/>
      <c r="H13" s="1244"/>
      <c r="I13" s="1244"/>
      <c r="J13" s="1244"/>
      <c r="K13" s="1244"/>
      <c r="L13" s="1244"/>
      <c r="M13" s="1244"/>
      <c r="N13" s="1244">
        <v>159.740182</v>
      </c>
      <c r="O13" s="1244"/>
      <c r="P13" s="1244"/>
      <c r="Q13" s="1245"/>
      <c r="R13" s="1244"/>
      <c r="S13" s="1244"/>
      <c r="T13" s="1238">
        <f t="shared" si="3"/>
        <v>100</v>
      </c>
      <c r="U13" s="1230"/>
      <c r="V13" s="1625"/>
    </row>
    <row r="14" spans="1:22" s="33" customFormat="1" ht="78.599999999999994" customHeight="1">
      <c r="A14" s="1241" t="s">
        <v>243</v>
      </c>
      <c r="B14" s="1242" t="s">
        <v>1117</v>
      </c>
      <c r="C14" s="1243">
        <v>3371.0455999999999</v>
      </c>
      <c r="D14" s="1244">
        <v>3182.6516000000001</v>
      </c>
      <c r="E14" s="1246">
        <f>+D14-N14</f>
        <v>2911.6060000000002</v>
      </c>
      <c r="F14" s="1244"/>
      <c r="G14" s="1244"/>
      <c r="H14" s="1244"/>
      <c r="I14" s="1244"/>
      <c r="J14" s="1244"/>
      <c r="K14" s="1244"/>
      <c r="L14" s="1244"/>
      <c r="M14" s="1244"/>
      <c r="N14" s="1244">
        <f>+O14</f>
        <v>271.04559999999998</v>
      </c>
      <c r="O14" s="1244">
        <v>271.04559999999998</v>
      </c>
      <c r="P14" s="1244"/>
      <c r="Q14" s="1244"/>
      <c r="R14" s="1244"/>
      <c r="S14" s="1244"/>
      <c r="T14" s="1238">
        <f t="shared" si="3"/>
        <v>94.411407546667419</v>
      </c>
      <c r="U14" s="1230"/>
      <c r="V14" s="1625"/>
    </row>
    <row r="15" spans="1:22" s="33" customFormat="1" ht="54" customHeight="1">
      <c r="A15" s="1241" t="s">
        <v>243</v>
      </c>
      <c r="B15" s="1242" t="s">
        <v>1116</v>
      </c>
      <c r="C15" s="1243">
        <v>495.80725999999999</v>
      </c>
      <c r="D15" s="1243">
        <v>495.80725999999999</v>
      </c>
      <c r="E15" s="1243"/>
      <c r="F15" s="1243"/>
      <c r="G15" s="1243"/>
      <c r="H15" s="1243"/>
      <c r="I15" s="1243"/>
      <c r="J15" s="1243"/>
      <c r="K15" s="1243"/>
      <c r="L15" s="1243"/>
      <c r="M15" s="1243"/>
      <c r="N15" s="1243">
        <v>495.80725999999999</v>
      </c>
      <c r="O15" s="1243">
        <v>495.80725999999999</v>
      </c>
      <c r="P15" s="1243"/>
      <c r="Q15" s="1243"/>
      <c r="R15" s="1244"/>
      <c r="S15" s="1244"/>
      <c r="T15" s="1238">
        <f>+D15/C15*100</f>
        <v>100</v>
      </c>
      <c r="U15" s="1230"/>
    </row>
    <row r="16" spans="1:22" s="33" customFormat="1" ht="61.9" customHeight="1">
      <c r="A16" s="1241" t="s">
        <v>243</v>
      </c>
      <c r="B16" s="1242" t="s">
        <v>1118</v>
      </c>
      <c r="C16" s="1243">
        <v>100</v>
      </c>
      <c r="D16" s="1243">
        <v>78.510900000000007</v>
      </c>
      <c r="E16" s="1243"/>
      <c r="F16" s="1243"/>
      <c r="G16" s="1243"/>
      <c r="H16" s="1243"/>
      <c r="I16" s="1243"/>
      <c r="J16" s="1243"/>
      <c r="K16" s="1243"/>
      <c r="L16" s="1243"/>
      <c r="M16" s="1243"/>
      <c r="N16" s="1243">
        <v>78.510900000000007</v>
      </c>
      <c r="O16" s="1243"/>
      <c r="P16" s="1243"/>
      <c r="Q16" s="1243"/>
      <c r="R16" s="1244"/>
      <c r="S16" s="1244"/>
      <c r="T16" s="1238">
        <f>+D16/C16*100</f>
        <v>78.510900000000007</v>
      </c>
      <c r="U16" s="1230"/>
    </row>
    <row r="17" spans="1:20" s="39" customFormat="1" ht="40.5" customHeight="1">
      <c r="A17" s="1233">
        <v>2</v>
      </c>
      <c r="B17" s="1236" t="s">
        <v>1114</v>
      </c>
      <c r="C17" s="1237">
        <f>+C18</f>
        <v>1188</v>
      </c>
      <c r="D17" s="1237">
        <f t="shared" ref="D17:S17" si="4">+D18</f>
        <v>1056</v>
      </c>
      <c r="E17" s="1237">
        <f t="shared" si="4"/>
        <v>0</v>
      </c>
      <c r="F17" s="1237">
        <f t="shared" si="4"/>
        <v>0</v>
      </c>
      <c r="G17" s="1237">
        <f t="shared" si="4"/>
        <v>0</v>
      </c>
      <c r="H17" s="1237">
        <f t="shared" si="4"/>
        <v>0</v>
      </c>
      <c r="I17" s="1237">
        <f t="shared" si="4"/>
        <v>0</v>
      </c>
      <c r="J17" s="1237">
        <f t="shared" si="4"/>
        <v>0</v>
      </c>
      <c r="K17" s="1237">
        <f t="shared" si="4"/>
        <v>0</v>
      </c>
      <c r="L17" s="1237">
        <f t="shared" si="4"/>
        <v>0</v>
      </c>
      <c r="M17" s="1237">
        <f t="shared" si="4"/>
        <v>0</v>
      </c>
      <c r="N17" s="1237">
        <f t="shared" si="4"/>
        <v>0</v>
      </c>
      <c r="O17" s="1237">
        <f t="shared" si="4"/>
        <v>0</v>
      </c>
      <c r="P17" s="1237">
        <f t="shared" si="4"/>
        <v>0</v>
      </c>
      <c r="Q17" s="1237">
        <f t="shared" si="4"/>
        <v>1056</v>
      </c>
      <c r="R17" s="1237">
        <f t="shared" si="4"/>
        <v>0</v>
      </c>
      <c r="S17" s="1237">
        <f t="shared" si="4"/>
        <v>0</v>
      </c>
      <c r="T17" s="1240">
        <f t="shared" ref="T17" si="5">+D17/C17*100</f>
        <v>88.888888888888886</v>
      </c>
    </row>
    <row r="18" spans="1:20" s="33" customFormat="1" ht="58.9" customHeight="1">
      <c r="A18" s="1241" t="s">
        <v>60</v>
      </c>
      <c r="B18" s="1242" t="s">
        <v>584</v>
      </c>
      <c r="C18" s="1244">
        <f>176+132+880</f>
        <v>1188</v>
      </c>
      <c r="D18" s="1244">
        <f>+C18-132</f>
        <v>1056</v>
      </c>
      <c r="E18" s="1246"/>
      <c r="F18" s="1244"/>
      <c r="G18" s="1244"/>
      <c r="H18" s="1244"/>
      <c r="I18" s="1244"/>
      <c r="J18" s="1244"/>
      <c r="K18" s="1244"/>
      <c r="L18" s="1244"/>
      <c r="M18" s="1244"/>
      <c r="N18" s="1244"/>
      <c r="O18" s="1244"/>
      <c r="P18" s="1244"/>
      <c r="Q18" s="1244">
        <v>1056</v>
      </c>
      <c r="R18" s="1244"/>
      <c r="S18" s="1244"/>
      <c r="T18" s="1238">
        <f>+D18/C18*100</f>
        <v>88.888888888888886</v>
      </c>
    </row>
    <row r="19" spans="1:20">
      <c r="D19" s="969"/>
    </row>
  </sheetData>
  <mergeCells count="23">
    <mergeCell ref="Q1:T1"/>
    <mergeCell ref="A1:C1"/>
    <mergeCell ref="F5:F6"/>
    <mergeCell ref="M5:M6"/>
    <mergeCell ref="G5:G6"/>
    <mergeCell ref="H5:H6"/>
    <mergeCell ref="E5:E6"/>
    <mergeCell ref="A3:T3"/>
    <mergeCell ref="T5:T6"/>
    <mergeCell ref="O5:P5"/>
    <mergeCell ref="N5:N6"/>
    <mergeCell ref="R5:R6"/>
    <mergeCell ref="S5:S6"/>
    <mergeCell ref="A2:T2"/>
    <mergeCell ref="A5:A6"/>
    <mergeCell ref="B5:B6"/>
    <mergeCell ref="L5:L6"/>
    <mergeCell ref="Q5:Q6"/>
    <mergeCell ref="C5:C6"/>
    <mergeCell ref="D5:D6"/>
    <mergeCell ref="K5:K6"/>
    <mergeCell ref="I5:I6"/>
    <mergeCell ref="J5:J6"/>
  </mergeCells>
  <phoneticPr fontId="31" type="noConversion"/>
  <pageMargins left="0.32" right="0.2" top="0.71" bottom="0.34" header="0.3" footer="0.3"/>
  <pageSetup paperSize="8" scale="90" firstPageNumber="157" orientation="landscape" useFirstPageNumber="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0"/>
  </sheetPr>
  <dimension ref="A1:V35"/>
  <sheetViews>
    <sheetView zoomScale="110" zoomScaleNormal="110" workbookViewId="0">
      <pane xSplit="2" ySplit="6" topLeftCell="F7" activePane="bottomRight" state="frozen"/>
      <selection pane="topRight" activeCell="C1" sqref="C1"/>
      <selection pane="bottomLeft" activeCell="A7" sqref="A7"/>
      <selection pane="bottomRight" activeCell="Q1" sqref="Q1:T1"/>
    </sheetView>
  </sheetViews>
  <sheetFormatPr defaultColWidth="9.28515625" defaultRowHeight="15"/>
  <cols>
    <col min="1" max="1" width="4.28515625" style="897" customWidth="1"/>
    <col min="2" max="2" width="19.28515625" style="897" customWidth="1"/>
    <col min="3" max="3" width="12" style="31" customWidth="1"/>
    <col min="4" max="4" width="12" style="28" customWidth="1"/>
    <col min="5" max="5" width="11.28515625" style="393" customWidth="1"/>
    <col min="6" max="6" width="9" style="29" customWidth="1"/>
    <col min="7" max="7" width="10.42578125" style="29" customWidth="1"/>
    <col min="8" max="8" width="5.28515625" style="29" customWidth="1"/>
    <col min="9" max="9" width="8" style="28" customWidth="1"/>
    <col min="10" max="10" width="10" style="57" customWidth="1"/>
    <col min="11" max="11" width="7.7109375" style="28" customWidth="1"/>
    <col min="12" max="12" width="9.140625" style="28" customWidth="1"/>
    <col min="13" max="13" width="9.42578125" style="57" customWidth="1"/>
    <col min="14" max="14" width="11.5703125" style="28" customWidth="1"/>
    <col min="15" max="15" width="10.7109375" style="28" customWidth="1"/>
    <col min="16" max="16" width="10.7109375" style="81" customWidth="1"/>
    <col min="17" max="17" width="12.7109375" style="31" customWidth="1"/>
    <col min="18" max="18" width="11" style="28" customWidth="1"/>
    <col min="19" max="19" width="9" style="28" customWidth="1"/>
    <col min="20" max="20" width="6.28515625" style="982" customWidth="1"/>
    <col min="21" max="21" width="16.140625" style="28" hidden="1" customWidth="1"/>
    <col min="22" max="22" width="13.140625" style="28" bestFit="1" customWidth="1"/>
    <col min="23" max="16384" width="9.28515625" style="28"/>
  </cols>
  <sheetData>
    <row r="1" spans="1:22" ht="24.75" customHeight="1">
      <c r="A1" s="1814" t="str">
        <f>+'55'!A1:C1</f>
        <v>UBND XÃ CƯỜNG LỢI</v>
      </c>
      <c r="B1" s="1814"/>
      <c r="C1" s="1814"/>
      <c r="Q1" s="1777" t="s">
        <v>1431</v>
      </c>
      <c r="R1" s="1777"/>
      <c r="S1" s="1777"/>
      <c r="T1" s="1777"/>
    </row>
    <row r="2" spans="1:22" ht="22.5" customHeight="1">
      <c r="A2" s="1814" t="s">
        <v>1128</v>
      </c>
      <c r="B2" s="1814"/>
      <c r="C2" s="1814"/>
      <c r="D2" s="1814"/>
      <c r="E2" s="1814"/>
      <c r="F2" s="1814"/>
      <c r="G2" s="1814"/>
      <c r="H2" s="1814"/>
      <c r="I2" s="1814"/>
      <c r="J2" s="1814"/>
      <c r="K2" s="1814"/>
      <c r="L2" s="1814"/>
      <c r="M2" s="1814"/>
      <c r="N2" s="1814"/>
      <c r="O2" s="1814"/>
      <c r="P2" s="1814"/>
      <c r="Q2" s="1814"/>
      <c r="R2" s="1814"/>
      <c r="S2" s="1814"/>
      <c r="T2" s="1814"/>
    </row>
    <row r="3" spans="1:22" s="33" customFormat="1" ht="27" customHeight="1">
      <c r="A3" s="1788" t="str">
        <f>+'49'!A3:E3</f>
        <v>(Kèm theo Báo cáo số 151/BC-UBND ngày 20/3/2026 của UBND xã Cường Lợi)</v>
      </c>
      <c r="B3" s="1788"/>
      <c r="C3" s="1788"/>
      <c r="D3" s="1788"/>
      <c r="E3" s="1788"/>
      <c r="F3" s="1788"/>
      <c r="G3" s="1788"/>
      <c r="H3" s="1788"/>
      <c r="I3" s="1788"/>
      <c r="J3" s="1788"/>
      <c r="K3" s="1788"/>
      <c r="L3" s="1788"/>
      <c r="M3" s="1788"/>
      <c r="N3" s="1788"/>
      <c r="O3" s="1788"/>
      <c r="P3" s="1788"/>
      <c r="Q3" s="1788"/>
      <c r="R3" s="1788"/>
      <c r="S3" s="1788"/>
      <c r="T3" s="1788"/>
    </row>
    <row r="4" spans="1:22" s="975" customFormat="1" ht="22.5" customHeight="1">
      <c r="A4" s="1265"/>
      <c r="B4" s="973"/>
      <c r="C4" s="974"/>
      <c r="D4" s="1012"/>
      <c r="E4" s="971"/>
      <c r="F4" s="971"/>
      <c r="G4" s="971"/>
      <c r="H4" s="971"/>
      <c r="I4" s="971"/>
      <c r="J4" s="971"/>
      <c r="K4" s="971"/>
      <c r="L4" s="971"/>
      <c r="M4" s="971"/>
      <c r="N4" s="971"/>
      <c r="O4" s="971"/>
      <c r="P4" s="1011"/>
      <c r="Q4" s="971"/>
      <c r="R4" s="1820" t="s">
        <v>290</v>
      </c>
      <c r="S4" s="1820"/>
      <c r="T4" s="1820"/>
    </row>
    <row r="5" spans="1:22" s="31" customFormat="1" ht="22.5" customHeight="1">
      <c r="A5" s="1816" t="s">
        <v>291</v>
      </c>
      <c r="B5" s="1816" t="s">
        <v>236</v>
      </c>
      <c r="C5" s="1815" t="s">
        <v>293</v>
      </c>
      <c r="D5" s="1815" t="s">
        <v>136</v>
      </c>
      <c r="E5" s="1818" t="s">
        <v>221</v>
      </c>
      <c r="F5" s="1819" t="s">
        <v>274</v>
      </c>
      <c r="G5" s="1819" t="s">
        <v>342</v>
      </c>
      <c r="H5" s="1819" t="s">
        <v>504</v>
      </c>
      <c r="I5" s="1815" t="s">
        <v>348</v>
      </c>
      <c r="J5" s="1817" t="s">
        <v>349</v>
      </c>
      <c r="K5" s="1815" t="s">
        <v>312</v>
      </c>
      <c r="L5" s="1815" t="s">
        <v>343</v>
      </c>
      <c r="M5" s="1817" t="s">
        <v>350</v>
      </c>
      <c r="N5" s="1815" t="s">
        <v>344</v>
      </c>
      <c r="O5" s="1815" t="s">
        <v>231</v>
      </c>
      <c r="P5" s="1815"/>
      <c r="Q5" s="1815" t="s">
        <v>313</v>
      </c>
      <c r="R5" s="1815" t="s">
        <v>74</v>
      </c>
      <c r="S5" s="1815" t="s">
        <v>591</v>
      </c>
      <c r="T5" s="1821" t="s">
        <v>158</v>
      </c>
    </row>
    <row r="6" spans="1:22" s="31" customFormat="1" ht="69" customHeight="1">
      <c r="A6" s="1816"/>
      <c r="B6" s="1816"/>
      <c r="C6" s="1815"/>
      <c r="D6" s="1815"/>
      <c r="E6" s="1818"/>
      <c r="F6" s="1819"/>
      <c r="G6" s="1819"/>
      <c r="H6" s="1819"/>
      <c r="I6" s="1815"/>
      <c r="J6" s="1817"/>
      <c r="K6" s="1815"/>
      <c r="L6" s="1815"/>
      <c r="M6" s="1817"/>
      <c r="N6" s="1815"/>
      <c r="O6" s="370" t="s">
        <v>77</v>
      </c>
      <c r="P6" s="368" t="s">
        <v>121</v>
      </c>
      <c r="Q6" s="1815"/>
      <c r="R6" s="1815"/>
      <c r="S6" s="1815"/>
      <c r="T6" s="1821"/>
      <c r="U6" s="1261"/>
    </row>
    <row r="7" spans="1:22" s="978" customFormat="1" ht="25.5" customHeight="1">
      <c r="A7" s="902" t="s">
        <v>294</v>
      </c>
      <c r="B7" s="947" t="s">
        <v>295</v>
      </c>
      <c r="C7" s="947">
        <v>1</v>
      </c>
      <c r="D7" s="947">
        <v>2</v>
      </c>
      <c r="E7" s="948">
        <v>3</v>
      </c>
      <c r="F7" s="948">
        <v>4</v>
      </c>
      <c r="G7" s="948">
        <v>5</v>
      </c>
      <c r="H7" s="976"/>
      <c r="I7" s="947">
        <v>6</v>
      </c>
      <c r="J7" s="948">
        <v>7</v>
      </c>
      <c r="K7" s="947">
        <v>8</v>
      </c>
      <c r="L7" s="947">
        <v>9</v>
      </c>
      <c r="M7" s="948">
        <v>10</v>
      </c>
      <c r="N7" s="947">
        <v>11</v>
      </c>
      <c r="O7" s="947">
        <v>12</v>
      </c>
      <c r="P7" s="947">
        <v>13</v>
      </c>
      <c r="Q7" s="947">
        <v>14</v>
      </c>
      <c r="R7" s="947">
        <v>15</v>
      </c>
      <c r="S7" s="947"/>
      <c r="T7" s="977" t="s">
        <v>96</v>
      </c>
      <c r="U7" s="1261"/>
    </row>
    <row r="8" spans="1:22" s="980" customFormat="1" ht="24.75" customHeight="1">
      <c r="A8" s="1262"/>
      <c r="B8" s="356" t="s">
        <v>447</v>
      </c>
      <c r="C8" s="1263">
        <f>SUM(C9:C21)</f>
        <v>85996.06925700001</v>
      </c>
      <c r="D8" s="1264">
        <f t="shared" ref="D8:S8" si="0">SUM(D9:D21)</f>
        <v>83065.532723000011</v>
      </c>
      <c r="E8" s="1263">
        <f t="shared" si="0"/>
        <v>36826.318903999992</v>
      </c>
      <c r="F8" s="1263">
        <f t="shared" si="0"/>
        <v>691.08712000000003</v>
      </c>
      <c r="G8" s="1263">
        <f t="shared" si="0"/>
        <v>353.69</v>
      </c>
      <c r="H8" s="1263">
        <f t="shared" si="0"/>
        <v>0</v>
      </c>
      <c r="I8" s="1263">
        <f t="shared" si="0"/>
        <v>95.296499999999995</v>
      </c>
      <c r="J8" s="1263">
        <f t="shared" si="0"/>
        <v>872.01329999999996</v>
      </c>
      <c r="K8" s="1263">
        <f t="shared" si="0"/>
        <v>3.36</v>
      </c>
      <c r="L8" s="1263">
        <f t="shared" si="0"/>
        <v>50.785820000000001</v>
      </c>
      <c r="M8" s="1263">
        <f t="shared" si="0"/>
        <v>500</v>
      </c>
      <c r="N8" s="1263">
        <f t="shared" si="0"/>
        <v>11503.964894999999</v>
      </c>
      <c r="O8" s="1263">
        <f t="shared" si="0"/>
        <v>3491.6999369999999</v>
      </c>
      <c r="P8" s="1263">
        <f t="shared" si="0"/>
        <v>7638.83439</v>
      </c>
      <c r="Q8" s="1263">
        <f t="shared" si="0"/>
        <v>27329.291058999999</v>
      </c>
      <c r="R8" s="1263">
        <f t="shared" si="0"/>
        <v>4529.7251249999999</v>
      </c>
      <c r="S8" s="1263">
        <f t="shared" si="0"/>
        <v>300</v>
      </c>
      <c r="T8" s="979">
        <f t="shared" ref="T8:T23" si="1">D8/C8*100</f>
        <v>96.592243623086929</v>
      </c>
      <c r="U8" s="1263">
        <f>SUM(U9:U22)</f>
        <v>2930.536533999998</v>
      </c>
    </row>
    <row r="9" spans="1:22" s="31" customFormat="1" ht="21.75" customHeight="1">
      <c r="A9" s="1201">
        <v>1</v>
      </c>
      <c r="B9" s="1257" t="s">
        <v>1126</v>
      </c>
      <c r="C9" s="838">
        <v>16933.799009999999</v>
      </c>
      <c r="D9" s="838">
        <v>16823.559881000001</v>
      </c>
      <c r="E9" s="838">
        <v>32.292000000000002</v>
      </c>
      <c r="F9" s="838">
        <f>365.85928+325.22784</f>
        <v>691.08712000000003</v>
      </c>
      <c r="G9" s="838">
        <f>172.85+180.84</f>
        <v>353.69</v>
      </c>
      <c r="H9" s="838"/>
      <c r="I9" s="838"/>
      <c r="J9" s="838">
        <v>656.89369999999997</v>
      </c>
      <c r="K9" s="838">
        <v>3.36</v>
      </c>
      <c r="L9" s="838">
        <v>47.210819999999998</v>
      </c>
      <c r="M9" s="838"/>
      <c r="N9" s="838"/>
      <c r="O9" s="838"/>
      <c r="P9" s="838"/>
      <c r="Q9" s="838">
        <f>6607.251878+426.54373+602.136922+3687.133871+32.775+9.25+21+143.71344+2927.636</f>
        <v>14457.440841</v>
      </c>
      <c r="R9" s="838">
        <f>461.2524+60.333+56.72+3.28</f>
        <v>581.58540000000005</v>
      </c>
      <c r="S9" s="838"/>
      <c r="T9" s="979">
        <f t="shared" si="1"/>
        <v>99.348999424553824</v>
      </c>
      <c r="U9" s="1010">
        <f t="shared" ref="U9:U20" si="2">+C9-D9</f>
        <v>110.23912899999777</v>
      </c>
    </row>
    <row r="10" spans="1:22" s="31" customFormat="1" ht="31.5" customHeight="1">
      <c r="A10" s="1201">
        <v>2</v>
      </c>
      <c r="B10" s="1257" t="s">
        <v>1102</v>
      </c>
      <c r="C10" s="838">
        <v>15441.983125000001</v>
      </c>
      <c r="D10" s="838">
        <v>14708.237723</v>
      </c>
      <c r="E10" s="838">
        <f>85.653728+1.8</f>
        <v>87.453727999999998</v>
      </c>
      <c r="F10" s="838"/>
      <c r="G10" s="838"/>
      <c r="H10" s="838"/>
      <c r="I10" s="838"/>
      <c r="J10" s="838"/>
      <c r="K10" s="838"/>
      <c r="L10" s="838"/>
      <c r="M10" s="838">
        <f>40+441+19</f>
        <v>500</v>
      </c>
      <c r="N10" s="838">
        <f>345.307+247.3313+76.145248+16.65+3152.915074+34.181568+110+487.3746+1491.55026+2032.20962+14+44.29+144.47+2700.506362+37+2+319.884863+18.9+217.786+6.48</f>
        <v>11498.981894999999</v>
      </c>
      <c r="O10" s="838">
        <f>3152.915074+319.884863+18.9</f>
        <v>3491.6999369999999</v>
      </c>
      <c r="P10" s="838">
        <f>345.307+247.3313+76.145248+16.65+487.3746+1491.55026+2032.20962+14+44.29+144.47+2700.506362+37+2</f>
        <v>7638.83439</v>
      </c>
      <c r="Q10" s="838">
        <f>799.195005+292.088015+90.30528+1216.215+10.5+0.5</f>
        <v>2408.8033</v>
      </c>
      <c r="R10" s="838">
        <v>212.99879999999999</v>
      </c>
      <c r="S10" s="838"/>
      <c r="T10" s="981">
        <f t="shared" si="1"/>
        <v>95.248373242863522</v>
      </c>
      <c r="U10" s="1010">
        <f t="shared" si="2"/>
        <v>733.74540200000047</v>
      </c>
      <c r="V10" s="1259"/>
    </row>
    <row r="11" spans="1:22" s="31" customFormat="1" ht="20.25" customHeight="1">
      <c r="A11" s="1201">
        <v>3</v>
      </c>
      <c r="B11" s="1257" t="s">
        <v>1129</v>
      </c>
      <c r="C11" s="838">
        <v>6937.9440210000002</v>
      </c>
      <c r="D11" s="838">
        <f>+E11+F11+G11+H11+I11+J11+K11+L11+M11+N11+Q11+R11+S11</f>
        <v>5582.4947439999996</v>
      </c>
      <c r="E11" s="838">
        <v>1432.031178</v>
      </c>
      <c r="F11" s="838"/>
      <c r="G11" s="838"/>
      <c r="H11" s="838"/>
      <c r="I11" s="838">
        <v>95.296499999999995</v>
      </c>
      <c r="J11" s="838">
        <f>1.64+28.36+8.1896+67.13+100.88+2.1+6.82</f>
        <v>215.11959999999996</v>
      </c>
      <c r="K11" s="838"/>
      <c r="L11" s="838">
        <v>3.5750000000000002</v>
      </c>
      <c r="M11" s="838"/>
      <c r="N11" s="838">
        <v>4.9829999999999997</v>
      </c>
      <c r="O11" s="838"/>
      <c r="P11" s="838"/>
      <c r="Q11" s="838">
        <f>448.8545+55.89324+575.289841</f>
        <v>1080.037581</v>
      </c>
      <c r="R11" s="838">
        <f>137.2+13.6+569+1971.651885+60</f>
        <v>2751.4518849999999</v>
      </c>
      <c r="S11" s="838"/>
      <c r="T11" s="972">
        <f t="shared" si="1"/>
        <v>80.463242815201724</v>
      </c>
      <c r="U11" s="1258">
        <f t="shared" si="2"/>
        <v>1355.4492770000006</v>
      </c>
    </row>
    <row r="12" spans="1:22" s="31" customFormat="1" ht="25.5" customHeight="1">
      <c r="A12" s="1201">
        <v>4</v>
      </c>
      <c r="B12" s="1257" t="s">
        <v>1130</v>
      </c>
      <c r="C12" s="838">
        <v>1717.861568</v>
      </c>
      <c r="D12" s="838">
        <v>1717.861568</v>
      </c>
      <c r="E12" s="838"/>
      <c r="F12" s="838"/>
      <c r="G12" s="838"/>
      <c r="H12" s="838"/>
      <c r="I12" s="838"/>
      <c r="J12" s="838"/>
      <c r="K12" s="838"/>
      <c r="L12" s="838"/>
      <c r="M12" s="838"/>
      <c r="N12" s="838"/>
      <c r="O12" s="838"/>
      <c r="P12" s="838"/>
      <c r="Q12" s="838">
        <v>1717.861568</v>
      </c>
      <c r="R12" s="838"/>
      <c r="S12" s="838"/>
      <c r="T12" s="981">
        <f t="shared" si="1"/>
        <v>100</v>
      </c>
      <c r="U12" s="1010">
        <f t="shared" si="2"/>
        <v>0</v>
      </c>
    </row>
    <row r="13" spans="1:22" s="31" customFormat="1" ht="26.25" customHeight="1">
      <c r="A13" s="1201">
        <v>5</v>
      </c>
      <c r="B13" s="1257" t="s">
        <v>1131</v>
      </c>
      <c r="C13" s="838">
        <v>5063.2481289999996</v>
      </c>
      <c r="D13" s="838">
        <v>5063.2481289999996</v>
      </c>
      <c r="E13" s="838"/>
      <c r="F13" s="838"/>
      <c r="G13" s="838"/>
      <c r="H13" s="838"/>
      <c r="I13" s="838"/>
      <c r="J13" s="838"/>
      <c r="K13" s="838"/>
      <c r="L13" s="838"/>
      <c r="M13" s="838"/>
      <c r="N13" s="838"/>
      <c r="O13" s="838"/>
      <c r="P13" s="838"/>
      <c r="Q13" s="838">
        <f>+D13</f>
        <v>5063.2481289999996</v>
      </c>
      <c r="R13" s="838"/>
      <c r="S13" s="838"/>
      <c r="T13" s="981">
        <f t="shared" si="1"/>
        <v>100</v>
      </c>
      <c r="U13" s="1010">
        <f t="shared" si="2"/>
        <v>0</v>
      </c>
    </row>
    <row r="14" spans="1:22" s="31" customFormat="1" ht="27.75" customHeight="1">
      <c r="A14" s="1201">
        <v>6</v>
      </c>
      <c r="B14" s="1257" t="s">
        <v>1132</v>
      </c>
      <c r="C14" s="838">
        <v>3590.6901200000002</v>
      </c>
      <c r="D14" s="838">
        <v>3585.5886799999998</v>
      </c>
      <c r="E14" s="838"/>
      <c r="F14" s="838"/>
      <c r="G14" s="838"/>
      <c r="H14" s="838"/>
      <c r="I14" s="838"/>
      <c r="J14" s="838"/>
      <c r="K14" s="838"/>
      <c r="L14" s="838"/>
      <c r="M14" s="838"/>
      <c r="N14" s="838"/>
      <c r="O14" s="838"/>
      <c r="P14" s="838"/>
      <c r="Q14" s="838">
        <f>+D14-R14</f>
        <v>2601.8996399999996</v>
      </c>
      <c r="R14" s="838">
        <f>600+370.39+13.29904</f>
        <v>983.68903999999998</v>
      </c>
      <c r="S14" s="838"/>
      <c r="T14" s="981">
        <f t="shared" si="1"/>
        <v>99.857925918708901</v>
      </c>
      <c r="U14" s="1010">
        <f t="shared" si="2"/>
        <v>5.1014400000003661</v>
      </c>
    </row>
    <row r="15" spans="1:22" s="31" customFormat="1" ht="21" customHeight="1">
      <c r="A15" s="1201">
        <v>7</v>
      </c>
      <c r="B15" s="1257" t="s">
        <v>1135</v>
      </c>
      <c r="C15" s="838">
        <v>3729.4035239999998</v>
      </c>
      <c r="D15" s="838">
        <v>3728.0435240000002</v>
      </c>
      <c r="E15" s="838">
        <f>+D15</f>
        <v>3728.0435240000002</v>
      </c>
      <c r="F15" s="838"/>
      <c r="G15" s="838"/>
      <c r="H15" s="838"/>
      <c r="I15" s="838"/>
      <c r="J15" s="838"/>
      <c r="K15" s="838"/>
      <c r="L15" s="838"/>
      <c r="M15" s="838"/>
      <c r="N15" s="838"/>
      <c r="O15" s="838"/>
      <c r="P15" s="838"/>
      <c r="Q15" s="838"/>
      <c r="R15" s="838"/>
      <c r="S15" s="838"/>
      <c r="T15" s="981">
        <f t="shared" si="1"/>
        <v>99.963533042449086</v>
      </c>
      <c r="U15" s="1010">
        <f t="shared" si="2"/>
        <v>1.3599999999996726</v>
      </c>
    </row>
    <row r="16" spans="1:22" s="31" customFormat="1" ht="21" customHeight="1">
      <c r="A16" s="1201">
        <v>8</v>
      </c>
      <c r="B16" s="1257" t="s">
        <v>1139</v>
      </c>
      <c r="C16" s="838">
        <v>6402.1213269999998</v>
      </c>
      <c r="D16" s="838">
        <v>6398.4933270000001</v>
      </c>
      <c r="E16" s="838">
        <v>6398.4933270000001</v>
      </c>
      <c r="F16" s="838"/>
      <c r="G16" s="838"/>
      <c r="H16" s="838"/>
      <c r="I16" s="838"/>
      <c r="J16" s="838"/>
      <c r="K16" s="838"/>
      <c r="L16" s="838"/>
      <c r="M16" s="838"/>
      <c r="N16" s="838"/>
      <c r="O16" s="838"/>
      <c r="P16" s="838"/>
      <c r="Q16" s="838"/>
      <c r="R16" s="946"/>
      <c r="S16" s="838"/>
      <c r="T16" s="981">
        <f t="shared" si="1"/>
        <v>99.943331283262324</v>
      </c>
      <c r="U16" s="1010">
        <f t="shared" si="2"/>
        <v>3.6279999999997017</v>
      </c>
    </row>
    <row r="17" spans="1:21" s="31" customFormat="1" ht="27" customHeight="1">
      <c r="A17" s="1201">
        <v>9</v>
      </c>
      <c r="B17" s="1257" t="s">
        <v>1136</v>
      </c>
      <c r="C17" s="838">
        <v>6474.0260369999996</v>
      </c>
      <c r="D17" s="838">
        <f>+E17+F17+G17+H17+I17+J17+K17+L17+M17+N17+Q17+R17+S17</f>
        <v>5867.1328659999999</v>
      </c>
      <c r="E17" s="838">
        <v>5867.1328659999999</v>
      </c>
      <c r="F17" s="838"/>
      <c r="G17" s="838"/>
      <c r="H17" s="838"/>
      <c r="I17" s="838"/>
      <c r="J17" s="838"/>
      <c r="K17" s="838"/>
      <c r="L17" s="838"/>
      <c r="M17" s="838"/>
      <c r="N17" s="838"/>
      <c r="O17" s="838"/>
      <c r="P17" s="838"/>
      <c r="Q17" s="838"/>
      <c r="R17" s="838"/>
      <c r="S17" s="838"/>
      <c r="T17" s="972">
        <f t="shared" si="1"/>
        <v>90.625722424786105</v>
      </c>
      <c r="U17" s="1010">
        <f t="shared" si="2"/>
        <v>606.89317099999971</v>
      </c>
    </row>
    <row r="18" spans="1:21" s="31" customFormat="1" ht="27" customHeight="1">
      <c r="A18" s="1201">
        <v>10</v>
      </c>
      <c r="B18" s="1257" t="s">
        <v>1137</v>
      </c>
      <c r="C18" s="838">
        <v>10165.748955999999</v>
      </c>
      <c r="D18" s="838">
        <v>10138.338873999999</v>
      </c>
      <c r="E18" s="838">
        <v>10138.338873999999</v>
      </c>
      <c r="F18" s="838"/>
      <c r="G18" s="838"/>
      <c r="H18" s="838"/>
      <c r="I18" s="838"/>
      <c r="J18" s="838"/>
      <c r="K18" s="838"/>
      <c r="L18" s="838"/>
      <c r="M18" s="838"/>
      <c r="N18" s="838"/>
      <c r="O18" s="838"/>
      <c r="P18" s="838"/>
      <c r="Q18" s="838"/>
      <c r="R18" s="838"/>
      <c r="S18" s="838"/>
      <c r="T18" s="981">
        <f t="shared" si="1"/>
        <v>99.730368297322329</v>
      </c>
      <c r="U18" s="1258">
        <f t="shared" si="2"/>
        <v>27.41008200000033</v>
      </c>
    </row>
    <row r="19" spans="1:21" s="31" customFormat="1" ht="24.75" customHeight="1">
      <c r="A19" s="1201">
        <v>11</v>
      </c>
      <c r="B19" s="1257" t="s">
        <v>1138</v>
      </c>
      <c r="C19" s="838">
        <v>9225.8364399999991</v>
      </c>
      <c r="D19" s="838">
        <v>9139.1264069999997</v>
      </c>
      <c r="E19" s="838">
        <v>9139.1264069999997</v>
      </c>
      <c r="F19" s="838"/>
      <c r="G19" s="838"/>
      <c r="H19" s="838"/>
      <c r="I19" s="838"/>
      <c r="J19" s="838"/>
      <c r="K19" s="838"/>
      <c r="L19" s="838"/>
      <c r="M19" s="838"/>
      <c r="N19" s="838"/>
      <c r="O19" s="838"/>
      <c r="P19" s="838"/>
      <c r="Q19" s="838"/>
      <c r="R19" s="838"/>
      <c r="S19" s="838"/>
      <c r="T19" s="981">
        <f t="shared" si="1"/>
        <v>99.060139060952196</v>
      </c>
      <c r="U19" s="1258">
        <f t="shared" si="2"/>
        <v>86.710032999999385</v>
      </c>
    </row>
    <row r="20" spans="1:21" s="31" customFormat="1" ht="21" customHeight="1">
      <c r="A20" s="1201">
        <v>12</v>
      </c>
      <c r="B20" s="1257" t="s">
        <v>1133</v>
      </c>
      <c r="C20" s="838">
        <v>3.407</v>
      </c>
      <c r="D20" s="838">
        <v>3.407</v>
      </c>
      <c r="E20" s="838">
        <v>3.407</v>
      </c>
      <c r="F20" s="838"/>
      <c r="G20" s="838"/>
      <c r="H20" s="838"/>
      <c r="I20" s="838"/>
      <c r="J20" s="838"/>
      <c r="K20" s="838"/>
      <c r="L20" s="838"/>
      <c r="M20" s="838"/>
      <c r="N20" s="838"/>
      <c r="O20" s="838"/>
      <c r="P20" s="838"/>
      <c r="Q20" s="838"/>
      <c r="R20" s="838"/>
      <c r="S20" s="838"/>
      <c r="T20" s="981">
        <f t="shared" si="1"/>
        <v>100</v>
      </c>
      <c r="U20" s="1258">
        <f t="shared" si="2"/>
        <v>0</v>
      </c>
    </row>
    <row r="21" spans="1:21" s="31" customFormat="1" ht="28.9" customHeight="1">
      <c r="A21" s="1201">
        <v>13</v>
      </c>
      <c r="B21" s="1257" t="s">
        <v>1134</v>
      </c>
      <c r="C21" s="838">
        <f>+C22+C23</f>
        <v>310</v>
      </c>
      <c r="D21" s="838">
        <f t="shared" ref="D21:S21" si="3">+D22+D23</f>
        <v>310</v>
      </c>
      <c r="E21" s="838">
        <f t="shared" si="3"/>
        <v>0</v>
      </c>
      <c r="F21" s="838">
        <f t="shared" si="3"/>
        <v>0</v>
      </c>
      <c r="G21" s="838">
        <f t="shared" si="3"/>
        <v>0</v>
      </c>
      <c r="H21" s="838">
        <f t="shared" si="3"/>
        <v>0</v>
      </c>
      <c r="I21" s="838">
        <f t="shared" si="3"/>
        <v>0</v>
      </c>
      <c r="J21" s="838">
        <f t="shared" si="3"/>
        <v>0</v>
      </c>
      <c r="K21" s="838">
        <f t="shared" si="3"/>
        <v>0</v>
      </c>
      <c r="L21" s="838">
        <f t="shared" si="3"/>
        <v>0</v>
      </c>
      <c r="M21" s="838">
        <f t="shared" si="3"/>
        <v>0</v>
      </c>
      <c r="N21" s="838">
        <f t="shared" si="3"/>
        <v>0</v>
      </c>
      <c r="O21" s="838">
        <f t="shared" si="3"/>
        <v>0</v>
      </c>
      <c r="P21" s="838">
        <f t="shared" si="3"/>
        <v>0</v>
      </c>
      <c r="Q21" s="838">
        <f t="shared" si="3"/>
        <v>0</v>
      </c>
      <c r="R21" s="838">
        <f t="shared" si="3"/>
        <v>0</v>
      </c>
      <c r="S21" s="838">
        <f t="shared" si="3"/>
        <v>300</v>
      </c>
      <c r="T21" s="981">
        <f t="shared" si="1"/>
        <v>100</v>
      </c>
      <c r="U21" s="1258">
        <f t="shared" ref="U21:U23" si="4">+C21-D21</f>
        <v>0</v>
      </c>
    </row>
    <row r="22" spans="1:21" s="31" customFormat="1" ht="30.75" customHeight="1">
      <c r="A22" s="1201" t="s">
        <v>60</v>
      </c>
      <c r="B22" s="1257" t="s">
        <v>1132</v>
      </c>
      <c r="C22" s="838">
        <v>300</v>
      </c>
      <c r="D22" s="838">
        <v>300</v>
      </c>
      <c r="E22" s="838"/>
      <c r="F22" s="838"/>
      <c r="G22" s="838"/>
      <c r="H22" s="838"/>
      <c r="I22" s="838"/>
      <c r="J22" s="838"/>
      <c r="K22" s="838"/>
      <c r="L22" s="838"/>
      <c r="M22" s="838"/>
      <c r="N22" s="838"/>
      <c r="O22" s="838"/>
      <c r="P22" s="838"/>
      <c r="Q22" s="838"/>
      <c r="R22" s="838"/>
      <c r="S22" s="838"/>
      <c r="T22" s="972">
        <f t="shared" si="1"/>
        <v>100</v>
      </c>
      <c r="U22" s="1258">
        <f t="shared" si="4"/>
        <v>0</v>
      </c>
    </row>
    <row r="23" spans="1:21" s="31" customFormat="1" ht="24" customHeight="1">
      <c r="A23" s="1201" t="s">
        <v>60</v>
      </c>
      <c r="B23" s="1257" t="s">
        <v>1140</v>
      </c>
      <c r="C23" s="1260">
        <v>10</v>
      </c>
      <c r="D23" s="1260">
        <v>10</v>
      </c>
      <c r="E23" s="1260"/>
      <c r="F23" s="1260"/>
      <c r="G23" s="1260"/>
      <c r="H23" s="1260"/>
      <c r="I23" s="1260"/>
      <c r="J23" s="1260"/>
      <c r="K23" s="1260"/>
      <c r="L23" s="1260"/>
      <c r="M23" s="1260"/>
      <c r="N23" s="1260"/>
      <c r="O23" s="1260"/>
      <c r="P23" s="1260"/>
      <c r="Q23" s="1260"/>
      <c r="R23" s="1260"/>
      <c r="S23" s="838">
        <v>300</v>
      </c>
      <c r="T23" s="972">
        <f t="shared" si="1"/>
        <v>100</v>
      </c>
      <c r="U23" s="1258">
        <f t="shared" si="4"/>
        <v>0</v>
      </c>
    </row>
    <row r="24" spans="1:21" ht="17.25" customHeight="1"/>
    <row r="25" spans="1:21" ht="17.25" customHeight="1"/>
    <row r="26" spans="1:21" ht="18.75" customHeight="1"/>
    <row r="29" spans="1:21" ht="20.25" customHeight="1"/>
    <row r="31" spans="1:21" ht="15.75" customHeight="1"/>
    <row r="32" spans="1:21" ht="15" customHeight="1"/>
    <row r="33" ht="15" customHeight="1"/>
    <row r="34" ht="15" customHeight="1"/>
    <row r="35" ht="15.75" customHeight="1"/>
  </sheetData>
  <mergeCells count="24">
    <mergeCell ref="R4:T4"/>
    <mergeCell ref="H5:H6"/>
    <mergeCell ref="K5:K6"/>
    <mergeCell ref="T5:T6"/>
    <mergeCell ref="L5:L6"/>
    <mergeCell ref="O5:P5"/>
    <mergeCell ref="Q5:Q6"/>
    <mergeCell ref="S5:S6"/>
    <mergeCell ref="A1:C1"/>
    <mergeCell ref="R5:R6"/>
    <mergeCell ref="A2:T2"/>
    <mergeCell ref="A5:A6"/>
    <mergeCell ref="B5:B6"/>
    <mergeCell ref="C5:C6"/>
    <mergeCell ref="M5:M6"/>
    <mergeCell ref="N5:N6"/>
    <mergeCell ref="D5:D6"/>
    <mergeCell ref="E5:E6"/>
    <mergeCell ref="F5:F6"/>
    <mergeCell ref="G5:G6"/>
    <mergeCell ref="I5:I6"/>
    <mergeCell ref="J5:J6"/>
    <mergeCell ref="A3:T3"/>
    <mergeCell ref="Q1:T1"/>
  </mergeCells>
  <phoneticPr fontId="31" type="noConversion"/>
  <pageMargins left="0.24" right="0.17" top="0.87" bottom="0.21" header="0.3" footer="0.19"/>
  <pageSetup paperSize="8" firstPageNumber="157" orientation="landscape" useFirstPageNumber="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0"/>
  </sheetPr>
  <dimension ref="A1:N139"/>
  <sheetViews>
    <sheetView zoomScale="110" zoomScaleNormal="110" workbookViewId="0">
      <pane xSplit="2" ySplit="6" topLeftCell="C7" activePane="bottomRight" state="frozen"/>
      <selection pane="topRight" activeCell="C1" sqref="C1"/>
      <selection pane="bottomLeft" activeCell="A6" sqref="A6"/>
      <selection pane="bottomRight" activeCell="J7" sqref="J7"/>
    </sheetView>
  </sheetViews>
  <sheetFormatPr defaultColWidth="9.28515625" defaultRowHeight="15"/>
  <cols>
    <col min="1" max="1" width="6.7109375" style="398" customWidth="1"/>
    <col min="2" max="2" width="37.7109375" style="398" customWidth="1"/>
    <col min="3" max="3" width="18.28515625" style="845" customWidth="1"/>
    <col min="4" max="4" width="19" style="398" customWidth="1"/>
    <col min="5" max="6" width="18.5703125" style="398" customWidth="1"/>
    <col min="7" max="7" width="18" style="398" customWidth="1"/>
    <col min="8" max="8" width="17.42578125" style="398" customWidth="1"/>
    <col min="9" max="9" width="16.85546875" style="398" customWidth="1"/>
    <col min="10" max="11" width="17.28515625" style="398" customWidth="1"/>
    <col min="12" max="12" width="20.28515625" style="398" customWidth="1"/>
    <col min="13" max="13" width="17.28515625" style="967" customWidth="1"/>
    <col min="14" max="14" width="14.42578125" style="966" customWidth="1"/>
    <col min="15" max="15" width="13.28515625" style="398" customWidth="1"/>
    <col min="16" max="16384" width="9.28515625" style="398"/>
  </cols>
  <sheetData>
    <row r="1" spans="1:14" ht="25.5" customHeight="1">
      <c r="A1" s="1791" t="s">
        <v>972</v>
      </c>
      <c r="B1" s="1791"/>
      <c r="C1" s="1791"/>
      <c r="H1" s="953"/>
      <c r="J1" s="1824" t="s">
        <v>1432</v>
      </c>
      <c r="K1" s="1824"/>
      <c r="L1" s="954"/>
      <c r="M1" s="955"/>
      <c r="N1" s="398"/>
    </row>
    <row r="2" spans="1:14" ht="28.5" customHeight="1">
      <c r="A2" s="1780" t="s">
        <v>1144</v>
      </c>
      <c r="B2" s="1780"/>
      <c r="C2" s="1780"/>
      <c r="D2" s="1780"/>
      <c r="E2" s="1780"/>
      <c r="F2" s="1780"/>
      <c r="G2" s="1780"/>
      <c r="H2" s="1780"/>
      <c r="I2" s="1780"/>
      <c r="J2" s="1780"/>
      <c r="K2" s="1780"/>
      <c r="L2" s="924"/>
      <c r="M2" s="956"/>
      <c r="N2" s="398"/>
    </row>
    <row r="3" spans="1:14" s="33" customFormat="1" ht="27" customHeight="1">
      <c r="A3" s="1749" t="str">
        <f>+'49'!A3:E3</f>
        <v>(Kèm theo Báo cáo số 151/BC-UBND ngày 20/3/2026 của UBND xã Cường Lợi)</v>
      </c>
      <c r="B3" s="1749"/>
      <c r="C3" s="1749"/>
      <c r="D3" s="1749"/>
      <c r="E3" s="1749"/>
      <c r="F3" s="1749"/>
      <c r="G3" s="1749"/>
      <c r="H3" s="1749"/>
      <c r="I3" s="1749"/>
      <c r="J3" s="1749"/>
      <c r="K3" s="1749"/>
    </row>
    <row r="4" spans="1:14" ht="15.75">
      <c r="B4" s="957"/>
      <c r="C4" s="957"/>
      <c r="D4" s="957"/>
      <c r="E4" s="957"/>
      <c r="F4" s="957"/>
      <c r="G4" s="953"/>
      <c r="H4" s="953"/>
      <c r="I4" s="957"/>
      <c r="J4" s="1823" t="s">
        <v>290</v>
      </c>
      <c r="K4" s="1823"/>
      <c r="L4" s="402"/>
      <c r="M4" s="958"/>
      <c r="N4" s="398"/>
    </row>
    <row r="5" spans="1:14" ht="18" customHeight="1">
      <c r="A5" s="1773" t="s">
        <v>291</v>
      </c>
      <c r="B5" s="1773" t="s">
        <v>236</v>
      </c>
      <c r="C5" s="1825" t="s">
        <v>123</v>
      </c>
      <c r="D5" s="1773" t="s">
        <v>143</v>
      </c>
      <c r="E5" s="1773"/>
      <c r="F5" s="1822"/>
      <c r="G5" s="1773"/>
      <c r="H5" s="1773" t="s">
        <v>448</v>
      </c>
      <c r="I5" s="1773" t="s">
        <v>449</v>
      </c>
      <c r="J5" s="1773" t="s">
        <v>231</v>
      </c>
      <c r="K5" s="1773"/>
      <c r="L5" s="924"/>
      <c r="M5" s="955"/>
      <c r="N5" s="398"/>
    </row>
    <row r="6" spans="1:14" ht="84" customHeight="1">
      <c r="A6" s="1773"/>
      <c r="B6" s="1773"/>
      <c r="C6" s="1825"/>
      <c r="D6" s="83" t="s">
        <v>1146</v>
      </c>
      <c r="E6" s="83" t="s">
        <v>450</v>
      </c>
      <c r="F6" s="1358" t="s">
        <v>1147</v>
      </c>
      <c r="G6" s="83" t="s">
        <v>1148</v>
      </c>
      <c r="H6" s="1773"/>
      <c r="I6" s="1773"/>
      <c r="J6" s="83" t="s">
        <v>386</v>
      </c>
      <c r="K6" s="83" t="s">
        <v>387</v>
      </c>
      <c r="L6" s="959"/>
      <c r="M6" s="837"/>
      <c r="N6" s="398"/>
    </row>
    <row r="7" spans="1:14" s="963" customFormat="1" ht="23.25" customHeight="1">
      <c r="A7" s="807" t="s">
        <v>294</v>
      </c>
      <c r="B7" s="807" t="s">
        <v>295</v>
      </c>
      <c r="C7" s="960" t="s">
        <v>1149</v>
      </c>
      <c r="D7" s="807">
        <v>2</v>
      </c>
      <c r="E7" s="807">
        <v>3</v>
      </c>
      <c r="F7" s="807">
        <v>4</v>
      </c>
      <c r="G7" s="807">
        <v>5</v>
      </c>
      <c r="H7" s="807">
        <v>6</v>
      </c>
      <c r="I7" s="807" t="s">
        <v>57</v>
      </c>
      <c r="J7" s="807">
        <v>8</v>
      </c>
      <c r="K7" s="807">
        <v>9</v>
      </c>
      <c r="L7" s="961"/>
      <c r="M7" s="962"/>
    </row>
    <row r="8" spans="1:14" ht="24" customHeight="1">
      <c r="A8" s="860"/>
      <c r="B8" s="861" t="s">
        <v>447</v>
      </c>
      <c r="C8" s="964">
        <f>+SUM(C9:C21)</f>
        <v>85996.06925700001</v>
      </c>
      <c r="D8" s="1300">
        <f t="shared" ref="D8:F8" si="0">+SUM(D9:D21)</f>
        <v>4763.035449</v>
      </c>
      <c r="E8" s="1300">
        <f t="shared" si="0"/>
        <v>58206.709128000002</v>
      </c>
      <c r="F8" s="1300">
        <f t="shared" si="0"/>
        <v>23026.324679999998</v>
      </c>
      <c r="G8" s="1300"/>
      <c r="H8" s="964">
        <f>+SUM(H9:H21)</f>
        <v>83065.532723000011</v>
      </c>
      <c r="I8" s="964">
        <f>+SUM(I9:I21)</f>
        <v>2930.536533999998</v>
      </c>
      <c r="J8" s="1300">
        <f>SUM(J9:J22)</f>
        <v>690.37506099999996</v>
      </c>
      <c r="K8" s="1300">
        <f>SUM(K9:K22)</f>
        <v>2240.1614729999983</v>
      </c>
      <c r="L8" s="955"/>
      <c r="M8" s="837"/>
      <c r="N8" s="398"/>
    </row>
    <row r="9" spans="1:14" ht="24" customHeight="1">
      <c r="A9" s="836">
        <v>1</v>
      </c>
      <c r="B9" s="862" t="str">
        <f>+'56'!B9</f>
        <v>Văn phòng HĐND và UBND xã</v>
      </c>
      <c r="C9" s="965">
        <f>+'56'!C9</f>
        <v>16933.799009999999</v>
      </c>
      <c r="D9" s="1301">
        <v>207.383725</v>
      </c>
      <c r="E9" s="1301">
        <v>10284.637317000001</v>
      </c>
      <c r="F9" s="1301">
        <v>6441.7779679999985</v>
      </c>
      <c r="G9" s="1301"/>
      <c r="H9" s="1301">
        <f>+'56'!D9</f>
        <v>16823.559881000001</v>
      </c>
      <c r="I9" s="1301">
        <f>C9-H9</f>
        <v>110.23912899999777</v>
      </c>
      <c r="J9" s="1302">
        <v>0</v>
      </c>
      <c r="K9" s="1301">
        <f>+I9-J9</f>
        <v>110.23912899999777</v>
      </c>
      <c r="L9" s="837"/>
      <c r="M9" s="837"/>
      <c r="N9" s="398"/>
    </row>
    <row r="10" spans="1:14" ht="24" customHeight="1">
      <c r="A10" s="836">
        <v>2</v>
      </c>
      <c r="B10" s="862" t="str">
        <f>+'56'!B10</f>
        <v>Phòng Kinh tế</v>
      </c>
      <c r="C10" s="965">
        <f>+'56'!C10</f>
        <v>15441.983125000001</v>
      </c>
      <c r="D10" s="1301">
        <v>3697.9899359999999</v>
      </c>
      <c r="E10" s="1301">
        <v>4128.809902</v>
      </c>
      <c r="F10" s="1301">
        <v>7615.1832870000007</v>
      </c>
      <c r="G10" s="1301"/>
      <c r="H10" s="1301">
        <f>+'56'!D10</f>
        <v>14708.237723</v>
      </c>
      <c r="I10" s="1301">
        <f t="shared" ref="I10:I23" si="1">C10-H10</f>
        <v>733.74540200000047</v>
      </c>
      <c r="J10" s="1302">
        <v>0</v>
      </c>
      <c r="K10" s="1301">
        <f t="shared" ref="K10:K23" si="2">+I10-J10</f>
        <v>733.74540200000047</v>
      </c>
      <c r="L10" s="837"/>
      <c r="M10" s="837"/>
      <c r="N10" s="398"/>
    </row>
    <row r="11" spans="1:14" ht="24" customHeight="1">
      <c r="A11" s="836">
        <v>3</v>
      </c>
      <c r="B11" s="862" t="str">
        <f>+'56'!B11</f>
        <v>Phòng Văn hóa - XH</v>
      </c>
      <c r="C11" s="965">
        <f>+'56'!C11</f>
        <v>6937.9440210000002</v>
      </c>
      <c r="D11" s="1301">
        <v>114.26034</v>
      </c>
      <c r="E11" s="1301">
        <v>4169.35221</v>
      </c>
      <c r="F11" s="1301">
        <f>+C11-D11-E11</f>
        <v>2654.3314710000004</v>
      </c>
      <c r="G11" s="1302"/>
      <c r="H11" s="1301">
        <f>+'56'!D11</f>
        <v>5582.4947439999996</v>
      </c>
      <c r="I11" s="1301">
        <f t="shared" si="1"/>
        <v>1355.4492770000006</v>
      </c>
      <c r="J11" s="1301">
        <v>90</v>
      </c>
      <c r="K11" s="1301">
        <f t="shared" si="2"/>
        <v>1265.4492770000006</v>
      </c>
      <c r="L11" s="837"/>
      <c r="M11" s="837"/>
      <c r="N11" s="398"/>
    </row>
    <row r="12" spans="1:14" ht="24" customHeight="1">
      <c r="A12" s="836">
        <v>4</v>
      </c>
      <c r="B12" s="862" t="str">
        <f>+'56'!B12</f>
        <v>Trung tâm phục vụ Hành chính công</v>
      </c>
      <c r="C12" s="1301">
        <f>+'56'!C12</f>
        <v>1717.861568</v>
      </c>
      <c r="D12" s="1301"/>
      <c r="E12" s="1301">
        <v>570.51031599999999</v>
      </c>
      <c r="F12" s="1301">
        <v>1147.3512519999999</v>
      </c>
      <c r="G12" s="1301"/>
      <c r="H12" s="1301">
        <f>+'56'!D12</f>
        <v>1717.861568</v>
      </c>
      <c r="I12" s="1302">
        <f t="shared" si="1"/>
        <v>0</v>
      </c>
      <c r="J12" s="1302">
        <v>0</v>
      </c>
      <c r="K12" s="1302">
        <f t="shared" si="2"/>
        <v>0</v>
      </c>
      <c r="L12" s="837"/>
      <c r="M12" s="837"/>
      <c r="N12" s="398"/>
    </row>
    <row r="13" spans="1:14" ht="24" customHeight="1">
      <c r="A13" s="836">
        <v>5</v>
      </c>
      <c r="B13" s="862" t="str">
        <f>+'56'!B13</f>
        <v>Văn phòng Đảng ủy</v>
      </c>
      <c r="C13" s="1301">
        <f>+'56'!C13</f>
        <v>5063.2481289999996</v>
      </c>
      <c r="D13" s="1301"/>
      <c r="E13" s="1301">
        <v>3191.6251689999999</v>
      </c>
      <c r="F13" s="1301">
        <f>+C13-E13</f>
        <v>1871.6229599999997</v>
      </c>
      <c r="G13" s="1301"/>
      <c r="H13" s="1301">
        <f>+'56'!D13</f>
        <v>5063.2481289999996</v>
      </c>
      <c r="I13" s="1302">
        <f t="shared" si="1"/>
        <v>0</v>
      </c>
      <c r="J13" s="1302">
        <v>0</v>
      </c>
      <c r="K13" s="1302">
        <f t="shared" si="2"/>
        <v>0</v>
      </c>
      <c r="L13" s="837"/>
      <c r="M13" s="837"/>
      <c r="N13" s="398"/>
    </row>
    <row r="14" spans="1:14" ht="23.25" customHeight="1">
      <c r="A14" s="841">
        <v>6</v>
      </c>
      <c r="B14" s="862" t="str">
        <f>+'56'!B14</f>
        <v>Ủy ban Mặt trận Tổ quốc VN xã</v>
      </c>
      <c r="C14" s="965">
        <f>+'56'!C14</f>
        <v>3590.6901200000002</v>
      </c>
      <c r="D14" s="1301">
        <v>158.68904000000001</v>
      </c>
      <c r="E14" s="1301">
        <v>1335.0805379999999</v>
      </c>
      <c r="F14" s="1301">
        <v>2096.9205419999998</v>
      </c>
      <c r="G14" s="1301"/>
      <c r="H14" s="1301">
        <f>+'56'!D14</f>
        <v>3585.5886799999998</v>
      </c>
      <c r="I14" s="1301">
        <f t="shared" si="1"/>
        <v>5.1014400000003661</v>
      </c>
      <c r="J14" s="1302">
        <v>0</v>
      </c>
      <c r="K14" s="1301">
        <f t="shared" si="2"/>
        <v>5.1014400000003661</v>
      </c>
      <c r="L14" s="837"/>
      <c r="M14" s="837"/>
      <c r="N14" s="398"/>
    </row>
    <row r="15" spans="1:14" ht="24" customHeight="1">
      <c r="A15" s="836">
        <v>7</v>
      </c>
      <c r="B15" s="862" t="str">
        <f>+'56'!B15</f>
        <v>Trường Mầm non Cường Lợi</v>
      </c>
      <c r="C15" s="1301">
        <f>+'56'!C15</f>
        <v>3729.4035239999998</v>
      </c>
      <c r="D15" s="1301"/>
      <c r="E15" s="1301">
        <v>3577.8216240000002</v>
      </c>
      <c r="F15" s="1301">
        <f>+C15-E15</f>
        <v>151.58189999999968</v>
      </c>
      <c r="G15" s="1301"/>
      <c r="H15" s="1301">
        <f>+'56'!D15</f>
        <v>3728.0435240000002</v>
      </c>
      <c r="I15" s="1301">
        <f t="shared" si="1"/>
        <v>1.3599999999996726</v>
      </c>
      <c r="J15" s="1302">
        <v>0</v>
      </c>
      <c r="K15" s="1301">
        <f t="shared" si="2"/>
        <v>1.3599999999996726</v>
      </c>
      <c r="L15" s="837"/>
      <c r="M15" s="837"/>
      <c r="N15" s="398"/>
    </row>
    <row r="16" spans="1:14" ht="24" customHeight="1">
      <c r="A16" s="836">
        <v>8</v>
      </c>
      <c r="B16" s="862" t="str">
        <f>+'56'!B16</f>
        <v>Trường Mầm non Văn Vũ</v>
      </c>
      <c r="C16" s="1301">
        <f>+'56'!C16</f>
        <v>6402.1213269999998</v>
      </c>
      <c r="D16" s="1301">
        <v>3.9305870000000001</v>
      </c>
      <c r="E16" s="1301">
        <v>6158.4597400000002</v>
      </c>
      <c r="F16" s="1301">
        <f>+C16-D16-E16</f>
        <v>239.73099999999977</v>
      </c>
      <c r="G16" s="1301"/>
      <c r="H16" s="1301">
        <f>+'56'!D16</f>
        <v>6398.4933270000001</v>
      </c>
      <c r="I16" s="1301">
        <f t="shared" si="1"/>
        <v>3.6279999999997017</v>
      </c>
      <c r="J16" s="1302">
        <v>0</v>
      </c>
      <c r="K16" s="1301">
        <f t="shared" si="2"/>
        <v>3.6279999999997017</v>
      </c>
      <c r="L16" s="837"/>
      <c r="M16" s="837"/>
      <c r="N16" s="398"/>
    </row>
    <row r="17" spans="1:14" ht="24" customHeight="1">
      <c r="A17" s="836">
        <v>9</v>
      </c>
      <c r="B17" s="862" t="str">
        <f>+'56'!B17</f>
        <v>Trường TH&amp;THCS Cường Lợi</v>
      </c>
      <c r="C17" s="1301">
        <f>+'56'!C17</f>
        <v>6474.0260369999996</v>
      </c>
      <c r="D17" s="1301">
        <v>457.146547</v>
      </c>
      <c r="E17" s="1301">
        <v>5727.6039899999996</v>
      </c>
      <c r="F17" s="1301">
        <f>+C17-D17-E17</f>
        <v>289.27549999999974</v>
      </c>
      <c r="G17" s="1301"/>
      <c r="H17" s="1301">
        <f>+'56'!D17</f>
        <v>5867.1328659999999</v>
      </c>
      <c r="I17" s="1301">
        <f t="shared" si="1"/>
        <v>606.89317099999971</v>
      </c>
      <c r="J17" s="1301">
        <f>+'54'!O19</f>
        <v>600.37506099999996</v>
      </c>
      <c r="K17" s="1301">
        <f t="shared" si="2"/>
        <v>6.5181099999997514</v>
      </c>
      <c r="L17" s="837"/>
      <c r="M17" s="837"/>
      <c r="N17" s="398"/>
    </row>
    <row r="18" spans="1:14" ht="24" customHeight="1">
      <c r="A18" s="836">
        <v>10</v>
      </c>
      <c r="B18" s="862" t="str">
        <f>+'56'!B18</f>
        <v>Trường PTDTBT TH Văn Vũ</v>
      </c>
      <c r="C18" s="1301">
        <f>+'56'!C18</f>
        <v>10165.748955999999</v>
      </c>
      <c r="D18" s="1301">
        <v>97.899798000000004</v>
      </c>
      <c r="E18" s="1301">
        <v>9929.6043580000005</v>
      </c>
      <c r="F18" s="1301">
        <f>+C18-D18-E18</f>
        <v>138.24479999999858</v>
      </c>
      <c r="G18" s="1301"/>
      <c r="H18" s="1301">
        <f>+'56'!D18</f>
        <v>10138.338873999999</v>
      </c>
      <c r="I18" s="1301">
        <f t="shared" si="1"/>
        <v>27.41008200000033</v>
      </c>
      <c r="J18" s="1302">
        <v>0</v>
      </c>
      <c r="K18" s="1301">
        <f t="shared" si="2"/>
        <v>27.41008200000033</v>
      </c>
      <c r="L18" s="837"/>
      <c r="M18" s="837"/>
      <c r="N18" s="398"/>
    </row>
    <row r="19" spans="1:14" ht="24" customHeight="1">
      <c r="A19" s="836">
        <v>11</v>
      </c>
      <c r="B19" s="862" t="str">
        <f>+'56'!B19</f>
        <v>Trường PTDTBT THCS Văn Vũ</v>
      </c>
      <c r="C19" s="1301">
        <f>+'56'!C19</f>
        <v>9225.8364399999991</v>
      </c>
      <c r="D19" s="1301">
        <v>25.735475999999998</v>
      </c>
      <c r="E19" s="1301">
        <v>9133.2039640000003</v>
      </c>
      <c r="F19" s="1301">
        <f>+C19-D19-E19</f>
        <v>66.896999999999025</v>
      </c>
      <c r="G19" s="1301"/>
      <c r="H19" s="1301">
        <f>+'56'!D19</f>
        <v>9139.1264069999997</v>
      </c>
      <c r="I19" s="1301">
        <f t="shared" si="1"/>
        <v>86.710032999999385</v>
      </c>
      <c r="J19" s="1302">
        <v>0</v>
      </c>
      <c r="K19" s="1301">
        <f t="shared" si="2"/>
        <v>86.710032999999385</v>
      </c>
      <c r="L19" s="837"/>
      <c r="M19" s="837"/>
      <c r="N19" s="398"/>
    </row>
    <row r="20" spans="1:14" ht="24" customHeight="1">
      <c r="A20" s="836">
        <v>12</v>
      </c>
      <c r="B20" s="862" t="str">
        <f>+'56'!B20</f>
        <v xml:space="preserve">Trung tâm học tập cộng đồng </v>
      </c>
      <c r="C20" s="1301">
        <f>+'56'!C20</f>
        <v>3.407</v>
      </c>
      <c r="D20" s="1301"/>
      <c r="E20" s="1301"/>
      <c r="F20" s="1301">
        <v>3.407</v>
      </c>
      <c r="G20" s="1301"/>
      <c r="H20" s="1301">
        <f>+'56'!D20</f>
        <v>3.407</v>
      </c>
      <c r="I20" s="1302">
        <f t="shared" si="1"/>
        <v>0</v>
      </c>
      <c r="J20" s="1302">
        <v>0</v>
      </c>
      <c r="K20" s="1302">
        <f t="shared" si="2"/>
        <v>0</v>
      </c>
      <c r="L20" s="837"/>
      <c r="M20" s="837"/>
      <c r="N20" s="398"/>
    </row>
    <row r="21" spans="1:14" ht="40.5" customHeight="1">
      <c r="A21" s="836">
        <v>13</v>
      </c>
      <c r="B21" s="862" t="str">
        <f>+'56'!B21</f>
        <v>Các đơn vị khác (cấp lệnh chi)</v>
      </c>
      <c r="C21" s="1301">
        <f>+C22+C23</f>
        <v>310</v>
      </c>
      <c r="D21" s="1301"/>
      <c r="E21" s="1301"/>
      <c r="F21" s="1301">
        <f>+F22+F23</f>
        <v>310</v>
      </c>
      <c r="G21" s="1301"/>
      <c r="H21" s="1301">
        <f>+'56'!D21</f>
        <v>310</v>
      </c>
      <c r="I21" s="1302">
        <f t="shared" si="1"/>
        <v>0</v>
      </c>
      <c r="J21" s="1302">
        <v>0</v>
      </c>
      <c r="K21" s="1302">
        <f t="shared" si="2"/>
        <v>0</v>
      </c>
      <c r="L21" s="837"/>
      <c r="M21" s="837"/>
      <c r="N21" s="398"/>
    </row>
    <row r="22" spans="1:14" s="1312" customFormat="1" ht="24" customHeight="1">
      <c r="A22" s="1307" t="s">
        <v>71</v>
      </c>
      <c r="B22" s="1308" t="str">
        <f>+'56'!B22</f>
        <v>Ủy ban Mặt trận Tổ quốc VN xã</v>
      </c>
      <c r="C22" s="1309">
        <v>300</v>
      </c>
      <c r="D22" s="1309"/>
      <c r="E22" s="1309"/>
      <c r="F22" s="1309">
        <v>300</v>
      </c>
      <c r="G22" s="1309"/>
      <c r="H22" s="1309">
        <f>+'56'!D22</f>
        <v>300</v>
      </c>
      <c r="I22" s="1310">
        <f t="shared" si="1"/>
        <v>0</v>
      </c>
      <c r="J22" s="1310">
        <v>0</v>
      </c>
      <c r="K22" s="1310">
        <f t="shared" si="2"/>
        <v>0</v>
      </c>
      <c r="L22" s="1311"/>
      <c r="M22" s="1311"/>
    </row>
    <row r="23" spans="1:14" s="1312" customFormat="1" ht="24" customHeight="1">
      <c r="A23" s="1313" t="s">
        <v>71</v>
      </c>
      <c r="B23" s="1314" t="str">
        <f>+'56'!B23</f>
        <v>Phòng giao dịch số 8-KBNN KV II</v>
      </c>
      <c r="C23" s="1357">
        <v>10</v>
      </c>
      <c r="D23" s="1357"/>
      <c r="E23" s="1357"/>
      <c r="F23" s="1357">
        <v>10</v>
      </c>
      <c r="G23" s="1357"/>
      <c r="H23" s="1309">
        <f>+'56'!D23</f>
        <v>10</v>
      </c>
      <c r="I23" s="1310">
        <f t="shared" si="1"/>
        <v>0</v>
      </c>
      <c r="J23" s="1315">
        <v>0</v>
      </c>
      <c r="K23" s="1310">
        <f t="shared" si="2"/>
        <v>0</v>
      </c>
      <c r="M23" s="1316"/>
      <c r="N23" s="1317"/>
    </row>
    <row r="24" spans="1:14">
      <c r="C24" s="398"/>
    </row>
    <row r="25" spans="1:14">
      <c r="C25" s="398"/>
    </row>
    <row r="26" spans="1:14">
      <c r="C26" s="398"/>
    </row>
    <row r="27" spans="1:14">
      <c r="C27" s="398"/>
    </row>
    <row r="28" spans="1:14">
      <c r="C28" s="398"/>
    </row>
    <row r="29" spans="1:14">
      <c r="C29" s="398"/>
    </row>
    <row r="30" spans="1:14">
      <c r="C30" s="398"/>
    </row>
    <row r="31" spans="1:14">
      <c r="C31" s="398"/>
    </row>
    <row r="32" spans="1:14">
      <c r="C32" s="398"/>
    </row>
    <row r="33" spans="3:3">
      <c r="C33" s="398"/>
    </row>
    <row r="34" spans="3:3">
      <c r="C34" s="398"/>
    </row>
    <row r="35" spans="3:3">
      <c r="C35" s="398"/>
    </row>
    <row r="36" spans="3:3">
      <c r="C36" s="398"/>
    </row>
    <row r="37" spans="3:3">
      <c r="C37" s="398"/>
    </row>
    <row r="38" spans="3:3">
      <c r="C38" s="398"/>
    </row>
    <row r="39" spans="3:3">
      <c r="C39" s="398"/>
    </row>
    <row r="40" spans="3:3">
      <c r="C40" s="398"/>
    </row>
    <row r="41" spans="3:3">
      <c r="C41" s="398"/>
    </row>
    <row r="42" spans="3:3">
      <c r="C42" s="398"/>
    </row>
    <row r="43" spans="3:3">
      <c r="C43" s="398"/>
    </row>
    <row r="44" spans="3:3">
      <c r="C44" s="398"/>
    </row>
    <row r="45" spans="3:3">
      <c r="C45" s="398"/>
    </row>
    <row r="46" spans="3:3">
      <c r="C46" s="398"/>
    </row>
    <row r="47" spans="3:3">
      <c r="C47" s="398"/>
    </row>
    <row r="48" spans="3:3">
      <c r="C48" s="398"/>
    </row>
    <row r="49" spans="3:3">
      <c r="C49" s="398"/>
    </row>
    <row r="50" spans="3:3">
      <c r="C50" s="398"/>
    </row>
    <row r="51" spans="3:3">
      <c r="C51" s="398"/>
    </row>
    <row r="52" spans="3:3">
      <c r="C52" s="398"/>
    </row>
    <row r="53" spans="3:3">
      <c r="C53" s="398"/>
    </row>
    <row r="54" spans="3:3">
      <c r="C54" s="398"/>
    </row>
    <row r="55" spans="3:3">
      <c r="C55" s="398"/>
    </row>
    <row r="56" spans="3:3">
      <c r="C56" s="398"/>
    </row>
    <row r="57" spans="3:3">
      <c r="C57" s="398"/>
    </row>
    <row r="58" spans="3:3">
      <c r="C58" s="398"/>
    </row>
    <row r="59" spans="3:3">
      <c r="C59" s="398"/>
    </row>
    <row r="60" spans="3:3">
      <c r="C60" s="398"/>
    </row>
    <row r="61" spans="3:3">
      <c r="C61" s="398"/>
    </row>
    <row r="62" spans="3:3">
      <c r="C62" s="398"/>
    </row>
    <row r="63" spans="3:3">
      <c r="C63" s="398"/>
    </row>
    <row r="64" spans="3:3">
      <c r="C64" s="398"/>
    </row>
    <row r="65" spans="3:3">
      <c r="C65" s="398"/>
    </row>
    <row r="66" spans="3:3">
      <c r="C66" s="398"/>
    </row>
    <row r="67" spans="3:3">
      <c r="C67" s="398"/>
    </row>
    <row r="68" spans="3:3">
      <c r="C68" s="398"/>
    </row>
    <row r="69" spans="3:3">
      <c r="C69" s="398"/>
    </row>
    <row r="70" spans="3:3">
      <c r="C70" s="398"/>
    </row>
    <row r="71" spans="3:3">
      <c r="C71" s="398"/>
    </row>
    <row r="72" spans="3:3">
      <c r="C72" s="398"/>
    </row>
    <row r="73" spans="3:3">
      <c r="C73" s="398"/>
    </row>
    <row r="74" spans="3:3">
      <c r="C74" s="398"/>
    </row>
    <row r="75" spans="3:3">
      <c r="C75" s="398"/>
    </row>
    <row r="76" spans="3:3">
      <c r="C76" s="398"/>
    </row>
    <row r="77" spans="3:3">
      <c r="C77" s="398"/>
    </row>
    <row r="78" spans="3:3">
      <c r="C78" s="398"/>
    </row>
    <row r="79" spans="3:3">
      <c r="C79" s="398"/>
    </row>
    <row r="80" spans="3:3">
      <c r="C80" s="398"/>
    </row>
    <row r="81" spans="3:3">
      <c r="C81" s="398"/>
    </row>
    <row r="82" spans="3:3">
      <c r="C82" s="398"/>
    </row>
    <row r="83" spans="3:3">
      <c r="C83" s="398"/>
    </row>
    <row r="84" spans="3:3">
      <c r="C84" s="398"/>
    </row>
    <row r="85" spans="3:3">
      <c r="C85" s="398"/>
    </row>
    <row r="86" spans="3:3">
      <c r="C86" s="398"/>
    </row>
    <row r="87" spans="3:3">
      <c r="C87" s="398"/>
    </row>
    <row r="88" spans="3:3">
      <c r="C88" s="398"/>
    </row>
    <row r="89" spans="3:3">
      <c r="C89" s="398"/>
    </row>
    <row r="90" spans="3:3">
      <c r="C90" s="398"/>
    </row>
    <row r="91" spans="3:3">
      <c r="C91" s="398"/>
    </row>
    <row r="92" spans="3:3">
      <c r="C92" s="398"/>
    </row>
    <row r="93" spans="3:3">
      <c r="C93" s="398"/>
    </row>
    <row r="94" spans="3:3">
      <c r="C94" s="398"/>
    </row>
    <row r="95" spans="3:3">
      <c r="C95" s="398"/>
    </row>
    <row r="96" spans="3:3">
      <c r="C96" s="398"/>
    </row>
    <row r="97" spans="3:3">
      <c r="C97" s="398"/>
    </row>
    <row r="98" spans="3:3">
      <c r="C98" s="398"/>
    </row>
    <row r="99" spans="3:3">
      <c r="C99" s="398"/>
    </row>
    <row r="100" spans="3:3">
      <c r="C100" s="398"/>
    </row>
    <row r="101" spans="3:3">
      <c r="C101" s="398"/>
    </row>
    <row r="102" spans="3:3">
      <c r="C102" s="398"/>
    </row>
    <row r="103" spans="3:3">
      <c r="C103" s="398"/>
    </row>
    <row r="104" spans="3:3">
      <c r="C104" s="398"/>
    </row>
    <row r="105" spans="3:3">
      <c r="C105" s="398"/>
    </row>
    <row r="106" spans="3:3">
      <c r="C106" s="398"/>
    </row>
    <row r="107" spans="3:3">
      <c r="C107" s="398"/>
    </row>
    <row r="108" spans="3:3">
      <c r="C108" s="398"/>
    </row>
    <row r="109" spans="3:3">
      <c r="C109" s="398"/>
    </row>
    <row r="110" spans="3:3">
      <c r="C110" s="398"/>
    </row>
    <row r="111" spans="3:3">
      <c r="C111" s="398"/>
    </row>
    <row r="112" spans="3:3">
      <c r="C112" s="398"/>
    </row>
    <row r="113" spans="3:3">
      <c r="C113" s="398"/>
    </row>
    <row r="114" spans="3:3">
      <c r="C114" s="398"/>
    </row>
    <row r="115" spans="3:3">
      <c r="C115" s="398"/>
    </row>
    <row r="116" spans="3:3">
      <c r="C116" s="398"/>
    </row>
    <row r="117" spans="3:3">
      <c r="C117" s="398"/>
    </row>
    <row r="118" spans="3:3">
      <c r="C118" s="398"/>
    </row>
    <row r="119" spans="3:3">
      <c r="C119" s="398"/>
    </row>
    <row r="120" spans="3:3">
      <c r="C120" s="398"/>
    </row>
    <row r="121" spans="3:3">
      <c r="C121" s="398"/>
    </row>
    <row r="122" spans="3:3">
      <c r="C122" s="398"/>
    </row>
    <row r="123" spans="3:3">
      <c r="C123" s="398"/>
    </row>
    <row r="124" spans="3:3">
      <c r="C124" s="398"/>
    </row>
    <row r="125" spans="3:3">
      <c r="C125" s="398"/>
    </row>
    <row r="126" spans="3:3">
      <c r="C126" s="398"/>
    </row>
    <row r="127" spans="3:3">
      <c r="C127" s="398"/>
    </row>
    <row r="128" spans="3:3">
      <c r="C128" s="398"/>
    </row>
    <row r="129" spans="3:3">
      <c r="C129" s="398"/>
    </row>
    <row r="130" spans="3:3">
      <c r="C130" s="398"/>
    </row>
    <row r="131" spans="3:3">
      <c r="C131" s="398"/>
    </row>
    <row r="132" spans="3:3">
      <c r="C132" s="398"/>
    </row>
    <row r="133" spans="3:3">
      <c r="C133" s="398"/>
    </row>
    <row r="134" spans="3:3">
      <c r="C134" s="398"/>
    </row>
    <row r="135" spans="3:3">
      <c r="C135" s="398"/>
    </row>
    <row r="136" spans="3:3">
      <c r="C136" s="398"/>
    </row>
    <row r="137" spans="3:3">
      <c r="C137" s="398"/>
    </row>
    <row r="138" spans="3:3">
      <c r="C138" s="398"/>
    </row>
    <row r="139" spans="3:3">
      <c r="C139" s="398"/>
    </row>
  </sheetData>
  <mergeCells count="12">
    <mergeCell ref="D5:G5"/>
    <mergeCell ref="A1:C1"/>
    <mergeCell ref="J4:K4"/>
    <mergeCell ref="J1:K1"/>
    <mergeCell ref="A2:K2"/>
    <mergeCell ref="A5:A6"/>
    <mergeCell ref="B5:B6"/>
    <mergeCell ref="C5:C6"/>
    <mergeCell ref="H5:H6"/>
    <mergeCell ref="I5:I6"/>
    <mergeCell ref="J5:K5"/>
    <mergeCell ref="A3:K3"/>
  </mergeCells>
  <phoneticPr fontId="31" type="noConversion"/>
  <pageMargins left="0.43" right="0.2" top="0.93" bottom="0.23" header="0.3" footer="0.19"/>
  <pageSetup paperSize="8" firstPageNumber="157" orientation="landscape" useFirstPageNumber="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0"/>
  </sheetPr>
  <dimension ref="A1:U32"/>
  <sheetViews>
    <sheetView zoomScale="130" zoomScaleNormal="130" workbookViewId="0">
      <pane xSplit="3" ySplit="7" topLeftCell="J8" activePane="bottomRight" state="frozen"/>
      <selection pane="topRight" activeCell="D1" sqref="D1"/>
      <selection pane="bottomLeft" activeCell="A8" sqref="A8"/>
      <selection pane="bottomRight" activeCell="R1" sqref="R1:U1"/>
    </sheetView>
  </sheetViews>
  <sheetFormatPr defaultColWidth="9.28515625" defaultRowHeight="15"/>
  <cols>
    <col min="1" max="1" width="4.28515625" style="385" customWidth="1"/>
    <col min="2" max="2" width="16.28515625" style="33" customWidth="1"/>
    <col min="3" max="3" width="11.140625" style="33" customWidth="1"/>
    <col min="4" max="4" width="11.7109375" style="209" customWidth="1"/>
    <col min="5" max="5" width="10.7109375" style="209" customWidth="1"/>
    <col min="6" max="6" width="10.7109375" style="341" customWidth="1"/>
    <col min="7" max="7" width="10.140625" style="28" customWidth="1"/>
    <col min="8" max="8" width="10.28515625" style="28" customWidth="1"/>
    <col min="9" max="9" width="13" style="28" customWidth="1"/>
    <col min="10" max="10" width="9.85546875" style="28" customWidth="1"/>
    <col min="11" max="11" width="9.5703125" style="28" customWidth="1"/>
    <col min="12" max="12" width="10.5703125" style="393" customWidth="1"/>
    <col min="13" max="13" width="10.5703125" style="28" customWidth="1"/>
    <col min="14" max="14" width="10.140625" style="28" customWidth="1"/>
    <col min="15" max="15" width="9.85546875" style="57" customWidth="1"/>
    <col min="16" max="16" width="9.7109375" style="57" customWidth="1"/>
    <col min="17" max="17" width="10" style="393" customWidth="1"/>
    <col min="18" max="18" width="5.7109375" style="53" customWidth="1"/>
    <col min="19" max="19" width="6.28515625" style="26" customWidth="1"/>
    <col min="20" max="20" width="6" style="53" customWidth="1"/>
    <col min="21" max="21" width="5.7109375" style="33" customWidth="1"/>
    <col min="22" max="16384" width="9.28515625" style="33"/>
  </cols>
  <sheetData>
    <row r="1" spans="1:21" ht="15.75">
      <c r="A1" s="1791" t="s">
        <v>972</v>
      </c>
      <c r="B1" s="1791"/>
      <c r="C1" s="1791"/>
      <c r="F1" s="863"/>
      <c r="H1" s="76"/>
      <c r="I1" s="864"/>
      <c r="J1" s="1830"/>
      <c r="K1" s="1830"/>
      <c r="R1" s="1790" t="s">
        <v>1433</v>
      </c>
      <c r="S1" s="1790"/>
      <c r="T1" s="1790"/>
      <c r="U1" s="1790"/>
    </row>
    <row r="2" spans="1:21" ht="27" customHeight="1">
      <c r="A2" s="1787" t="s">
        <v>1108</v>
      </c>
      <c r="B2" s="1787"/>
      <c r="C2" s="1787"/>
      <c r="D2" s="1787"/>
      <c r="E2" s="1787"/>
      <c r="F2" s="1787"/>
      <c r="G2" s="1787"/>
      <c r="H2" s="1787"/>
      <c r="I2" s="1787"/>
      <c r="J2" s="1787"/>
      <c r="K2" s="1787"/>
      <c r="L2" s="1787"/>
      <c r="M2" s="1787"/>
      <c r="N2" s="1787"/>
      <c r="O2" s="1787"/>
      <c r="P2" s="1787"/>
      <c r="Q2" s="1787"/>
      <c r="R2" s="1787"/>
      <c r="S2" s="1787"/>
      <c r="T2" s="1787"/>
      <c r="U2" s="1787"/>
    </row>
    <row r="3" spans="1:21" ht="27" customHeight="1">
      <c r="A3" s="1788" t="str">
        <f>+'49'!A3:E3</f>
        <v>(Kèm theo Báo cáo số 151/BC-UBND ngày 20/3/2026 của UBND xã Cường Lợi)</v>
      </c>
      <c r="B3" s="1788"/>
      <c r="C3" s="1788"/>
      <c r="D3" s="1788"/>
      <c r="E3" s="1788"/>
      <c r="F3" s="1788"/>
      <c r="G3" s="1788"/>
      <c r="H3" s="1788"/>
      <c r="I3" s="1788"/>
      <c r="J3" s="1788"/>
      <c r="K3" s="1788"/>
      <c r="L3" s="1788"/>
      <c r="M3" s="1788"/>
      <c r="N3" s="1788"/>
      <c r="O3" s="1788"/>
      <c r="P3" s="1788"/>
      <c r="Q3" s="1788"/>
      <c r="R3" s="1788"/>
      <c r="S3" s="1788"/>
      <c r="T3" s="1788"/>
      <c r="U3" s="1788"/>
    </row>
    <row r="4" spans="1:21" ht="16.5" customHeight="1">
      <c r="C4" s="386"/>
      <c r="D4" s="1831"/>
      <c r="E4" s="1831"/>
      <c r="F4" s="1831"/>
      <c r="G4" s="57"/>
      <c r="H4" s="1356"/>
      <c r="I4" s="1351"/>
      <c r="J4" s="1352"/>
      <c r="K4" s="1832"/>
      <c r="L4" s="1832"/>
      <c r="M4" s="865"/>
      <c r="N4" s="29"/>
      <c r="O4" s="1833"/>
      <c r="P4" s="1833"/>
      <c r="Q4" s="1834" t="s">
        <v>290</v>
      </c>
      <c r="R4" s="1835"/>
      <c r="S4" s="1835"/>
      <c r="T4" s="1835"/>
      <c r="U4" s="1835"/>
    </row>
    <row r="5" spans="1:21" s="52" customFormat="1" ht="16.5" customHeight="1">
      <c r="A5" s="1836" t="s">
        <v>291</v>
      </c>
      <c r="B5" s="1837" t="s">
        <v>614</v>
      </c>
      <c r="C5" s="1827" t="s">
        <v>275</v>
      </c>
      <c r="D5" s="1827"/>
      <c r="E5" s="1827"/>
      <c r="F5" s="1827"/>
      <c r="G5" s="1827"/>
      <c r="H5" s="1827"/>
      <c r="I5" s="1827" t="s">
        <v>136</v>
      </c>
      <c r="J5" s="1827"/>
      <c r="K5" s="1827"/>
      <c r="L5" s="1827"/>
      <c r="M5" s="1827"/>
      <c r="N5" s="1827"/>
      <c r="O5" s="1827"/>
      <c r="P5" s="1827"/>
      <c r="Q5" s="1827"/>
      <c r="R5" s="1828" t="s">
        <v>158</v>
      </c>
      <c r="S5" s="1828"/>
      <c r="T5" s="1828"/>
      <c r="U5" s="1828"/>
    </row>
    <row r="6" spans="1:21" s="52" customFormat="1" ht="18" customHeight="1">
      <c r="A6" s="1836"/>
      <c r="B6" s="1837"/>
      <c r="C6" s="1827" t="s">
        <v>142</v>
      </c>
      <c r="D6" s="1827" t="s">
        <v>75</v>
      </c>
      <c r="E6" s="1827" t="s">
        <v>446</v>
      </c>
      <c r="F6" s="1827" t="s">
        <v>389</v>
      </c>
      <c r="G6" s="1827"/>
      <c r="H6" s="1827"/>
      <c r="I6" s="1827" t="s">
        <v>142</v>
      </c>
      <c r="J6" s="1827" t="s">
        <v>75</v>
      </c>
      <c r="K6" s="1827"/>
      <c r="L6" s="1827" t="s">
        <v>446</v>
      </c>
      <c r="M6" s="1827"/>
      <c r="N6" s="1827" t="s">
        <v>389</v>
      </c>
      <c r="O6" s="1827"/>
      <c r="P6" s="1827"/>
      <c r="Q6" s="1839" t="s">
        <v>377</v>
      </c>
      <c r="R6" s="1828" t="s">
        <v>142</v>
      </c>
      <c r="S6" s="1829" t="s">
        <v>75</v>
      </c>
      <c r="T6" s="1828" t="s">
        <v>446</v>
      </c>
      <c r="U6" s="1828" t="s">
        <v>389</v>
      </c>
    </row>
    <row r="7" spans="1:21" s="52" customFormat="1" ht="15" customHeight="1">
      <c r="A7" s="1836"/>
      <c r="B7" s="1837"/>
      <c r="C7" s="1827"/>
      <c r="D7" s="1827"/>
      <c r="E7" s="1827"/>
      <c r="F7" s="1838" t="s">
        <v>142</v>
      </c>
      <c r="G7" s="1827" t="s">
        <v>231</v>
      </c>
      <c r="H7" s="1827"/>
      <c r="I7" s="1827"/>
      <c r="J7" s="1827" t="s">
        <v>142</v>
      </c>
      <c r="K7" s="1353" t="s">
        <v>231</v>
      </c>
      <c r="L7" s="1839" t="s">
        <v>142</v>
      </c>
      <c r="M7" s="1353" t="s">
        <v>231</v>
      </c>
      <c r="N7" s="1827" t="s">
        <v>142</v>
      </c>
      <c r="O7" s="1826" t="s">
        <v>231</v>
      </c>
      <c r="P7" s="1826"/>
      <c r="Q7" s="1839"/>
      <c r="R7" s="1828"/>
      <c r="S7" s="1829"/>
      <c r="T7" s="1828"/>
      <c r="U7" s="1828"/>
    </row>
    <row r="8" spans="1:21" s="52" customFormat="1" ht="52.5" customHeight="1">
      <c r="A8" s="1836"/>
      <c r="B8" s="1837"/>
      <c r="C8" s="1827"/>
      <c r="D8" s="1827"/>
      <c r="E8" s="1827"/>
      <c r="F8" s="1838"/>
      <c r="G8" s="1354" t="s">
        <v>75</v>
      </c>
      <c r="H8" s="1354" t="s">
        <v>446</v>
      </c>
      <c r="I8" s="1827"/>
      <c r="J8" s="1827"/>
      <c r="K8" s="1354" t="s">
        <v>390</v>
      </c>
      <c r="L8" s="1839"/>
      <c r="M8" s="1354" t="s">
        <v>390</v>
      </c>
      <c r="N8" s="1827"/>
      <c r="O8" s="1355" t="s">
        <v>75</v>
      </c>
      <c r="P8" s="1355" t="s">
        <v>446</v>
      </c>
      <c r="Q8" s="1839"/>
      <c r="R8" s="1828"/>
      <c r="S8" s="1829"/>
      <c r="T8" s="1828"/>
      <c r="U8" s="1828"/>
    </row>
    <row r="9" spans="1:21" s="805" customFormat="1" ht="16.5" customHeight="1">
      <c r="A9" s="866" t="s">
        <v>294</v>
      </c>
      <c r="B9" s="867" t="s">
        <v>295</v>
      </c>
      <c r="C9" s="867" t="s">
        <v>384</v>
      </c>
      <c r="D9" s="867">
        <v>2</v>
      </c>
      <c r="E9" s="867">
        <v>3</v>
      </c>
      <c r="F9" s="867" t="s">
        <v>224</v>
      </c>
      <c r="G9" s="867">
        <v>5</v>
      </c>
      <c r="H9" s="867">
        <v>6</v>
      </c>
      <c r="I9" s="867">
        <v>7</v>
      </c>
      <c r="J9" s="867">
        <v>8</v>
      </c>
      <c r="K9" s="903">
        <v>9</v>
      </c>
      <c r="L9" s="867">
        <v>10</v>
      </c>
      <c r="M9" s="903">
        <v>11</v>
      </c>
      <c r="N9" s="867">
        <v>12</v>
      </c>
      <c r="O9" s="867">
        <v>13</v>
      </c>
      <c r="P9" s="867">
        <v>14</v>
      </c>
      <c r="Q9" s="867">
        <v>15</v>
      </c>
      <c r="R9" s="868" t="s">
        <v>35</v>
      </c>
      <c r="S9" s="869" t="s">
        <v>36</v>
      </c>
      <c r="T9" s="868" t="s">
        <v>207</v>
      </c>
      <c r="U9" s="868" t="s">
        <v>400</v>
      </c>
    </row>
    <row r="10" spans="1:21" s="374" customFormat="1" ht="20.25" customHeight="1">
      <c r="A10" s="1197"/>
      <c r="B10" s="1321" t="s">
        <v>447</v>
      </c>
      <c r="C10" s="1322">
        <f t="shared" ref="C10:P10" si="0">SUM(C11:C23)+C26+C27+C28+C29+C30+C31</f>
        <v>99812.224403000015</v>
      </c>
      <c r="D10" s="1322">
        <f t="shared" si="0"/>
        <v>4126.5930420000004</v>
      </c>
      <c r="E10" s="1322">
        <f t="shared" si="0"/>
        <v>75584.129941000007</v>
      </c>
      <c r="F10" s="1322">
        <f>SUM(F11:F23)+F26+F27+F28+F29+F30+F31</f>
        <v>20101.501420000004</v>
      </c>
      <c r="G10" s="1322">
        <f>SUM(G11:G23)+G26+F27+G28+G29+G30+G31</f>
        <v>9689.5621040000005</v>
      </c>
      <c r="H10" s="1322">
        <f t="shared" si="0"/>
        <v>10411.939316000002</v>
      </c>
      <c r="I10" s="1322">
        <f>SUM(I11:I23)+I26+I27+I28+I29+I30+I31</f>
        <v>103957.14597600001</v>
      </c>
      <c r="J10" s="1322">
        <f t="shared" si="0"/>
        <v>3916.709942</v>
      </c>
      <c r="K10" s="1322">
        <f t="shared" si="0"/>
        <v>2911.6060000000002</v>
      </c>
      <c r="L10" s="1322">
        <f>SUM(L11:L23)+L26+L27+L28+L29+L30+L31</f>
        <v>73255.877572000012</v>
      </c>
      <c r="M10" s="1322">
        <f t="shared" si="0"/>
        <v>35494.858998000003</v>
      </c>
      <c r="N10" s="1322">
        <f t="shared" si="0"/>
        <v>19260.136055000003</v>
      </c>
      <c r="O10" s="1322">
        <f t="shared" si="0"/>
        <v>9270.3579040000004</v>
      </c>
      <c r="P10" s="1322">
        <f t="shared" si="0"/>
        <v>9989.7781509999986</v>
      </c>
      <c r="Q10" s="1322">
        <f>SUM(Q11:Q23)+Q26+Q27+Q28+Q29+Q30+Q31</f>
        <v>7524.422407</v>
      </c>
      <c r="R10" s="1323">
        <f>I10/C10*100</f>
        <v>104.15271936658232</v>
      </c>
      <c r="S10" s="1323">
        <f>J10/D10*100</f>
        <v>94.913889063839491</v>
      </c>
      <c r="T10" s="1323">
        <f t="shared" ref="T10:T25" si="1">L10/E10*100</f>
        <v>96.919654468712679</v>
      </c>
      <c r="U10" s="1323">
        <f>N10/F10*100</f>
        <v>95.814415314455644</v>
      </c>
    </row>
    <row r="11" spans="1:21" s="373" customFormat="1" ht="26.25" customHeight="1">
      <c r="A11" s="870">
        <v>1</v>
      </c>
      <c r="B11" s="871" t="str">
        <f>+'57'!B9</f>
        <v>Văn phòng HĐND và UBND xã</v>
      </c>
      <c r="C11" s="872">
        <f>+'54'!C11</f>
        <v>16933.799009999999</v>
      </c>
      <c r="D11" s="872"/>
      <c r="E11" s="872">
        <f>+'54'!E11</f>
        <v>16873.799009999999</v>
      </c>
      <c r="F11" s="872">
        <f>G11+H11</f>
        <v>60</v>
      </c>
      <c r="G11" s="872"/>
      <c r="H11" s="872">
        <f>+'54'!H11</f>
        <v>60</v>
      </c>
      <c r="I11" s="872">
        <f>+'54'!I11</f>
        <v>16823.559881000001</v>
      </c>
      <c r="J11" s="872"/>
      <c r="K11" s="1320"/>
      <c r="L11" s="872">
        <f>+I11-J11-N11-Q11</f>
        <v>16763.559881000001</v>
      </c>
      <c r="M11" s="1320">
        <v>32.292000000000002</v>
      </c>
      <c r="N11" s="872">
        <f>O11+P11</f>
        <v>60</v>
      </c>
      <c r="O11" s="873"/>
      <c r="P11" s="873">
        <f>+'54'!N11</f>
        <v>60</v>
      </c>
      <c r="Q11" s="872"/>
      <c r="R11" s="874">
        <f t="shared" ref="R11:R25" si="2">I11/C11*100</f>
        <v>99.348999424553824</v>
      </c>
      <c r="S11" s="874"/>
      <c r="T11" s="874">
        <f t="shared" si="1"/>
        <v>99.346684591094942</v>
      </c>
      <c r="U11" s="874">
        <f>N11/F11*100</f>
        <v>100</v>
      </c>
    </row>
    <row r="12" spans="1:21" s="373" customFormat="1" ht="22.5" customHeight="1">
      <c r="A12" s="875">
        <v>2</v>
      </c>
      <c r="B12" s="876" t="str">
        <f>+'57'!B10</f>
        <v>Phòng Kinh tế</v>
      </c>
      <c r="C12" s="877">
        <f>+'54'!C12</f>
        <v>28070.138271000003</v>
      </c>
      <c r="D12" s="877">
        <f>+'55'!C14+'55'!C15+'55'!C16+'55'!C13</f>
        <v>4126.5930420000004</v>
      </c>
      <c r="E12" s="877">
        <f>+'54'!E12</f>
        <v>7047.9931889999998</v>
      </c>
      <c r="F12" s="877">
        <f t="shared" ref="F12:F13" si="3">G12+H12</f>
        <v>16895.552040000002</v>
      </c>
      <c r="G12" s="877">
        <f>+'54'!G12</f>
        <v>8501.5621040000005</v>
      </c>
      <c r="H12" s="877">
        <f>+'54'!H12</f>
        <v>8393.9899360000018</v>
      </c>
      <c r="I12" s="877">
        <f>+'54'!I12</f>
        <v>26839.305569</v>
      </c>
      <c r="J12" s="877">
        <f>+'54'!J12</f>
        <v>3916.709942</v>
      </c>
      <c r="K12" s="1319">
        <f>+'55'!E14</f>
        <v>2911.6060000000002</v>
      </c>
      <c r="L12" s="877">
        <f t="shared" ref="L12:L25" si="4">+I12-J12-N12-Q12</f>
        <v>6633.3322899999985</v>
      </c>
      <c r="M12" s="1319"/>
      <c r="N12" s="877">
        <f>O12+P12</f>
        <v>16289.263337</v>
      </c>
      <c r="O12" s="878">
        <f>+'54'!M12</f>
        <v>8214.3579040000004</v>
      </c>
      <c r="P12" s="878">
        <f>+'54'!N12</f>
        <v>8074.9054329999999</v>
      </c>
      <c r="Q12" s="877"/>
      <c r="R12" s="879">
        <f t="shared" si="2"/>
        <v>95.615152693167843</v>
      </c>
      <c r="S12" s="879">
        <f>J12/D12*100</f>
        <v>94.913889063839491</v>
      </c>
      <c r="T12" s="879">
        <f t="shared" si="1"/>
        <v>94.116610389930926</v>
      </c>
      <c r="U12" s="879">
        <f>N12/F12*100</f>
        <v>96.411548426682828</v>
      </c>
    </row>
    <row r="13" spans="1:21" s="373" customFormat="1" ht="26.25" customHeight="1">
      <c r="A13" s="875">
        <v>3</v>
      </c>
      <c r="B13" s="876" t="str">
        <f>+'57'!B11</f>
        <v>Phòng Văn hóa - XH</v>
      </c>
      <c r="C13" s="877">
        <f>+'54'!C13</f>
        <v>8125.9440210000002</v>
      </c>
      <c r="D13" s="877"/>
      <c r="E13" s="877">
        <f>+'54'!E13</f>
        <v>5378.6836810000004</v>
      </c>
      <c r="F13" s="877">
        <f t="shared" si="3"/>
        <v>2747.2603399999998</v>
      </c>
      <c r="G13" s="877">
        <f>+'54'!G13</f>
        <v>1188</v>
      </c>
      <c r="H13" s="877">
        <f>+'54'!H13</f>
        <v>1559.26034</v>
      </c>
      <c r="I13" s="877">
        <f>+'54'!I13</f>
        <v>6728.4947439999996</v>
      </c>
      <c r="J13" s="877"/>
      <c r="K13" s="1319"/>
      <c r="L13" s="877">
        <f>+I13-J13-N13-Q13</f>
        <v>4126.3110659999993</v>
      </c>
      <c r="M13" s="1319">
        <f>173.075+14.95</f>
        <v>188.02499999999998</v>
      </c>
      <c r="N13" s="877">
        <f t="shared" ref="N13:N16" si="5">O13+P13</f>
        <v>2512.1836780000003</v>
      </c>
      <c r="O13" s="878">
        <f>+'54'!M13</f>
        <v>1056</v>
      </c>
      <c r="P13" s="878">
        <f>+'54'!N13</f>
        <v>1456.1836780000001</v>
      </c>
      <c r="Q13" s="877">
        <f>+'54'!O13</f>
        <v>90</v>
      </c>
      <c r="R13" s="879">
        <f t="shared" si="2"/>
        <v>82.802622398227811</v>
      </c>
      <c r="S13" s="879"/>
      <c r="T13" s="879">
        <f t="shared" si="1"/>
        <v>76.716001734328415</v>
      </c>
      <c r="U13" s="879">
        <f>N13/F13*100</f>
        <v>91.44323315204997</v>
      </c>
    </row>
    <row r="14" spans="1:21" s="373" customFormat="1" ht="26.25" customHeight="1">
      <c r="A14" s="875">
        <v>4</v>
      </c>
      <c r="B14" s="876" t="str">
        <f>+'57'!B12</f>
        <v>Trung tâm phục vụ Hành chính công</v>
      </c>
      <c r="C14" s="877">
        <f>+'54'!C14</f>
        <v>1717.861568</v>
      </c>
      <c r="D14" s="877"/>
      <c r="E14" s="877">
        <f>+'54'!E14</f>
        <v>1717.861568</v>
      </c>
      <c r="F14" s="877"/>
      <c r="G14" s="877"/>
      <c r="H14" s="877"/>
      <c r="I14" s="877">
        <f>+'54'!I14</f>
        <v>1717.861568</v>
      </c>
      <c r="J14" s="877"/>
      <c r="K14" s="1319"/>
      <c r="L14" s="877">
        <f t="shared" si="4"/>
        <v>1717.861568</v>
      </c>
      <c r="M14" s="1319"/>
      <c r="N14" s="877"/>
      <c r="O14" s="878"/>
      <c r="P14" s="878"/>
      <c r="Q14" s="877"/>
      <c r="R14" s="879">
        <f t="shared" si="2"/>
        <v>100</v>
      </c>
      <c r="S14" s="879"/>
      <c r="T14" s="879">
        <f t="shared" si="1"/>
        <v>100</v>
      </c>
      <c r="U14" s="879"/>
    </row>
    <row r="15" spans="1:21" s="373" customFormat="1" ht="19.5" customHeight="1">
      <c r="A15" s="875">
        <v>5</v>
      </c>
      <c r="B15" s="876" t="str">
        <f>+'57'!B13</f>
        <v>Văn phòng Đảng ủy</v>
      </c>
      <c r="C15" s="877">
        <f>+'54'!C15</f>
        <v>5063.2481289999996</v>
      </c>
      <c r="D15" s="877"/>
      <c r="E15" s="877">
        <f>+'54'!E15</f>
        <v>5063.2481289999996</v>
      </c>
      <c r="F15" s="877"/>
      <c r="G15" s="877"/>
      <c r="H15" s="877"/>
      <c r="I15" s="877">
        <f>+'54'!I15</f>
        <v>5063.2481289999996</v>
      </c>
      <c r="J15" s="877"/>
      <c r="K15" s="1319"/>
      <c r="L15" s="877">
        <f t="shared" si="4"/>
        <v>5063.2481289999996</v>
      </c>
      <c r="M15" s="1319"/>
      <c r="N15" s="877"/>
      <c r="O15" s="878"/>
      <c r="P15" s="878"/>
      <c r="Q15" s="877"/>
      <c r="R15" s="879">
        <f t="shared" si="2"/>
        <v>100</v>
      </c>
      <c r="S15" s="879"/>
      <c r="T15" s="879">
        <f t="shared" si="1"/>
        <v>100</v>
      </c>
      <c r="U15" s="879"/>
    </row>
    <row r="16" spans="1:21" s="373" customFormat="1" ht="26.25" customHeight="1">
      <c r="A16" s="875">
        <v>6</v>
      </c>
      <c r="B16" s="876" t="str">
        <f>+'57'!B14</f>
        <v>Ủy ban Mặt trận Tổ quốc VN xã</v>
      </c>
      <c r="C16" s="877">
        <f>+'54'!C16</f>
        <v>3590.6901200000002</v>
      </c>
      <c r="D16" s="877"/>
      <c r="E16" s="877">
        <f>+'54'!E16</f>
        <v>3192.00108</v>
      </c>
      <c r="F16" s="877">
        <f>G16+H16</f>
        <v>398.68903999999998</v>
      </c>
      <c r="G16" s="877"/>
      <c r="H16" s="877">
        <f>+'54'!H16</f>
        <v>398.68903999999998</v>
      </c>
      <c r="I16" s="877">
        <f>+'54'!I16</f>
        <v>3585.5886799999998</v>
      </c>
      <c r="J16" s="1319"/>
      <c r="K16" s="1319"/>
      <c r="L16" s="877">
        <f t="shared" si="4"/>
        <v>3186.8996399999996</v>
      </c>
      <c r="M16" s="1319"/>
      <c r="N16" s="877">
        <f t="shared" si="5"/>
        <v>398.68903999999998</v>
      </c>
      <c r="O16" s="878"/>
      <c r="P16" s="878">
        <f>+'54'!N16</f>
        <v>398.68903999999998</v>
      </c>
      <c r="Q16" s="877"/>
      <c r="R16" s="879">
        <f t="shared" si="2"/>
        <v>99.857925918708901</v>
      </c>
      <c r="S16" s="879"/>
      <c r="T16" s="879">
        <f t="shared" si="1"/>
        <v>99.840180505202071</v>
      </c>
      <c r="U16" s="879">
        <f>N16/F16*100</f>
        <v>100</v>
      </c>
    </row>
    <row r="17" spans="1:21" s="373" customFormat="1" ht="26.25" customHeight="1">
      <c r="A17" s="875">
        <v>7</v>
      </c>
      <c r="B17" s="876" t="str">
        <f>+'57'!B15</f>
        <v>Trường Mầm non Cường Lợi</v>
      </c>
      <c r="C17" s="877">
        <f>+'54'!C17</f>
        <v>3729.4035239999998</v>
      </c>
      <c r="D17" s="877"/>
      <c r="E17" s="877">
        <f>+'54'!E17</f>
        <v>3729.4035239999998</v>
      </c>
      <c r="F17" s="877"/>
      <c r="G17" s="877"/>
      <c r="H17" s="877"/>
      <c r="I17" s="877">
        <f>+'54'!I17</f>
        <v>3728.0435240000002</v>
      </c>
      <c r="J17" s="877"/>
      <c r="K17" s="1319"/>
      <c r="L17" s="877">
        <f t="shared" si="4"/>
        <v>3728.0435240000002</v>
      </c>
      <c r="M17" s="1319">
        <f>+L17</f>
        <v>3728.0435240000002</v>
      </c>
      <c r="N17" s="877"/>
      <c r="O17" s="878"/>
      <c r="P17" s="878"/>
      <c r="Q17" s="877"/>
      <c r="R17" s="879">
        <f t="shared" si="2"/>
        <v>99.963533042449086</v>
      </c>
      <c r="S17" s="879"/>
      <c r="T17" s="879">
        <f t="shared" si="1"/>
        <v>99.963533042449086</v>
      </c>
      <c r="U17" s="879"/>
    </row>
    <row r="18" spans="1:21" s="373" customFormat="1" ht="26.25" customHeight="1">
      <c r="A18" s="875">
        <v>8</v>
      </c>
      <c r="B18" s="876" t="str">
        <f>+'57'!B16</f>
        <v>Trường Mầm non Văn Vũ</v>
      </c>
      <c r="C18" s="877">
        <f>+'54'!C18</f>
        <v>6402.1213269999998</v>
      </c>
      <c r="D18" s="877"/>
      <c r="E18" s="877">
        <f>+'54'!E18</f>
        <v>6402.1213269999998</v>
      </c>
      <c r="F18" s="877"/>
      <c r="G18" s="877"/>
      <c r="H18" s="877"/>
      <c r="I18" s="877">
        <f>+'54'!I18</f>
        <v>6398.4933270000001</v>
      </c>
      <c r="J18" s="877"/>
      <c r="K18" s="1319"/>
      <c r="L18" s="877">
        <f t="shared" si="4"/>
        <v>6398.4933270000001</v>
      </c>
      <c r="M18" s="1319">
        <f t="shared" ref="M18:M22" si="6">+L18</f>
        <v>6398.4933270000001</v>
      </c>
      <c r="N18" s="877"/>
      <c r="O18" s="878"/>
      <c r="P18" s="878"/>
      <c r="Q18" s="877"/>
      <c r="R18" s="879">
        <f t="shared" si="2"/>
        <v>99.943331283262324</v>
      </c>
      <c r="S18" s="879"/>
      <c r="T18" s="879">
        <f t="shared" si="1"/>
        <v>99.943331283262324</v>
      </c>
      <c r="U18" s="879"/>
    </row>
    <row r="19" spans="1:21" s="373" customFormat="1" ht="26.25" customHeight="1">
      <c r="A19" s="875">
        <v>9</v>
      </c>
      <c r="B19" s="876" t="str">
        <f>+'57'!B17</f>
        <v>Trường TH&amp;THCS Cường Lợi</v>
      </c>
      <c r="C19" s="877">
        <f>+'54'!C19</f>
        <v>6474.0260369999996</v>
      </c>
      <c r="D19" s="877"/>
      <c r="E19" s="877">
        <f>+'54'!E19</f>
        <v>6474.0260369999996</v>
      </c>
      <c r="F19" s="877"/>
      <c r="G19" s="877"/>
      <c r="H19" s="877"/>
      <c r="I19" s="877">
        <f>+'54'!I19</f>
        <v>6467.5079269999997</v>
      </c>
      <c r="J19" s="877"/>
      <c r="K19" s="1319"/>
      <c r="L19" s="877">
        <f t="shared" si="4"/>
        <v>5867.1328659999999</v>
      </c>
      <c r="M19" s="1319">
        <f t="shared" si="6"/>
        <v>5867.1328659999999</v>
      </c>
      <c r="N19" s="877"/>
      <c r="O19" s="878"/>
      <c r="P19" s="878"/>
      <c r="Q19" s="877">
        <f>+'54'!O19</f>
        <v>600.37506099999996</v>
      </c>
      <c r="R19" s="879">
        <f t="shared" si="2"/>
        <v>99.899319064168907</v>
      </c>
      <c r="S19" s="879"/>
      <c r="T19" s="879">
        <f t="shared" si="1"/>
        <v>90.625722424786105</v>
      </c>
      <c r="U19" s="879"/>
    </row>
    <row r="20" spans="1:21" s="373" customFormat="1" ht="26.25" customHeight="1">
      <c r="A20" s="875">
        <v>10</v>
      </c>
      <c r="B20" s="876" t="str">
        <f>+'57'!B18</f>
        <v>Trường PTDTBT TH Văn Vũ</v>
      </c>
      <c r="C20" s="877">
        <f>+'54'!C20</f>
        <v>10165.748955999999</v>
      </c>
      <c r="D20" s="877"/>
      <c r="E20" s="877">
        <f>+'54'!E20</f>
        <v>10165.748955999999</v>
      </c>
      <c r="F20" s="877"/>
      <c r="G20" s="877"/>
      <c r="H20" s="877"/>
      <c r="I20" s="877">
        <f>+'54'!I20</f>
        <v>10138.338873999999</v>
      </c>
      <c r="J20" s="877"/>
      <c r="K20" s="1319"/>
      <c r="L20" s="877">
        <f t="shared" si="4"/>
        <v>10138.338873999999</v>
      </c>
      <c r="M20" s="1319">
        <f t="shared" si="6"/>
        <v>10138.338873999999</v>
      </c>
      <c r="N20" s="877"/>
      <c r="O20" s="878"/>
      <c r="P20" s="878"/>
      <c r="Q20" s="877"/>
      <c r="R20" s="879">
        <f t="shared" si="2"/>
        <v>99.730368297322329</v>
      </c>
      <c r="S20" s="879"/>
      <c r="T20" s="879">
        <f t="shared" si="1"/>
        <v>99.730368297322329</v>
      </c>
      <c r="U20" s="879"/>
    </row>
    <row r="21" spans="1:21" s="373" customFormat="1" ht="26.25" customHeight="1">
      <c r="A21" s="875">
        <v>11</v>
      </c>
      <c r="B21" s="876" t="str">
        <f>+'57'!B19</f>
        <v>Trường PTDTBT THCS Văn Vũ</v>
      </c>
      <c r="C21" s="877">
        <f>+'54'!C21</f>
        <v>9225.8364399999991</v>
      </c>
      <c r="D21" s="877"/>
      <c r="E21" s="877">
        <f>+'54'!E21</f>
        <v>9225.8364399999991</v>
      </c>
      <c r="F21" s="877"/>
      <c r="G21" s="877"/>
      <c r="H21" s="877"/>
      <c r="I21" s="877">
        <f>+'54'!I21</f>
        <v>9139.1264069999997</v>
      </c>
      <c r="J21" s="877"/>
      <c r="K21" s="1319"/>
      <c r="L21" s="877">
        <f t="shared" si="4"/>
        <v>9139.1264069999997</v>
      </c>
      <c r="M21" s="1319">
        <f t="shared" si="6"/>
        <v>9139.1264069999997</v>
      </c>
      <c r="N21" s="877"/>
      <c r="O21" s="878"/>
      <c r="P21" s="878"/>
      <c r="Q21" s="877"/>
      <c r="R21" s="879">
        <f t="shared" si="2"/>
        <v>99.060139060952196</v>
      </c>
      <c r="S21" s="879"/>
      <c r="T21" s="879">
        <f t="shared" si="1"/>
        <v>99.060139060952196</v>
      </c>
      <c r="U21" s="879"/>
    </row>
    <row r="22" spans="1:21" s="373" customFormat="1" ht="26.25" customHeight="1">
      <c r="A22" s="875">
        <v>12</v>
      </c>
      <c r="B22" s="876" t="str">
        <f>+'57'!B20</f>
        <v xml:space="preserve">Trung tâm học tập cộng đồng </v>
      </c>
      <c r="C22" s="877">
        <f>+'54'!C22</f>
        <v>3.407</v>
      </c>
      <c r="D22" s="877"/>
      <c r="E22" s="877">
        <f>+'54'!E22</f>
        <v>3.407</v>
      </c>
      <c r="F22" s="877"/>
      <c r="G22" s="877"/>
      <c r="H22" s="877"/>
      <c r="I22" s="877">
        <f>+'54'!I22</f>
        <v>3.407</v>
      </c>
      <c r="J22" s="877"/>
      <c r="K22" s="1319"/>
      <c r="L22" s="877">
        <f t="shared" si="4"/>
        <v>3.407</v>
      </c>
      <c r="M22" s="1319">
        <f t="shared" si="6"/>
        <v>3.407</v>
      </c>
      <c r="N22" s="877"/>
      <c r="O22" s="878"/>
      <c r="P22" s="878"/>
      <c r="Q22" s="877"/>
      <c r="R22" s="879">
        <f t="shared" si="2"/>
        <v>100</v>
      </c>
      <c r="S22" s="879"/>
      <c r="T22" s="879">
        <f t="shared" si="1"/>
        <v>100</v>
      </c>
      <c r="U22" s="879"/>
    </row>
    <row r="23" spans="1:21" s="373" customFormat="1" ht="26.25" customHeight="1">
      <c r="A23" s="875">
        <v>13</v>
      </c>
      <c r="B23" s="876" t="str">
        <f>+'57'!B21</f>
        <v>Các đơn vị khác (cấp lệnh chi)</v>
      </c>
      <c r="C23" s="877">
        <f>+'54'!C23</f>
        <v>310</v>
      </c>
      <c r="D23" s="877">
        <f t="shared" ref="D23" si="7">+D24+D25</f>
        <v>0</v>
      </c>
      <c r="E23" s="877">
        <f>+'54'!E23</f>
        <v>310</v>
      </c>
      <c r="F23" s="877"/>
      <c r="G23" s="877"/>
      <c r="H23" s="877"/>
      <c r="I23" s="877">
        <f>+'54'!I23</f>
        <v>310</v>
      </c>
      <c r="J23" s="877"/>
      <c r="K23" s="1319"/>
      <c r="L23" s="877">
        <f t="shared" si="4"/>
        <v>310</v>
      </c>
      <c r="M23" s="1319"/>
      <c r="N23" s="877"/>
      <c r="O23" s="878"/>
      <c r="P23" s="878"/>
      <c r="Q23" s="877"/>
      <c r="R23" s="879">
        <f t="shared" si="2"/>
        <v>100</v>
      </c>
      <c r="S23" s="879"/>
      <c r="T23" s="879">
        <f t="shared" si="1"/>
        <v>100</v>
      </c>
      <c r="U23" s="879"/>
    </row>
    <row r="24" spans="1:21" s="1306" customFormat="1" ht="26.25" customHeight="1">
      <c r="A24" s="1303"/>
      <c r="B24" s="1318" t="str">
        <f>+'57'!B22</f>
        <v>Ủy ban Mặt trận Tổ quốc VN xã</v>
      </c>
      <c r="C24" s="877">
        <f>+'54'!C24</f>
        <v>300</v>
      </c>
      <c r="D24" s="1304"/>
      <c r="E24" s="877">
        <f>+'54'!E24</f>
        <v>300</v>
      </c>
      <c r="F24" s="1304"/>
      <c r="G24" s="877"/>
      <c r="H24" s="877"/>
      <c r="I24" s="877">
        <f>+'54'!I24</f>
        <v>300</v>
      </c>
      <c r="J24" s="877"/>
      <c r="K24" s="1324"/>
      <c r="L24" s="877">
        <f t="shared" si="4"/>
        <v>300</v>
      </c>
      <c r="M24" s="1324"/>
      <c r="N24" s="1304"/>
      <c r="O24" s="878"/>
      <c r="P24" s="878"/>
      <c r="Q24" s="877"/>
      <c r="R24" s="1305">
        <f t="shared" si="2"/>
        <v>100</v>
      </c>
      <c r="S24" s="1305"/>
      <c r="T24" s="1305">
        <f t="shared" si="1"/>
        <v>100</v>
      </c>
      <c r="U24" s="1305"/>
    </row>
    <row r="25" spans="1:21" s="1306" customFormat="1" ht="26.25" customHeight="1">
      <c r="A25" s="1303"/>
      <c r="B25" s="1318" t="str">
        <f>+'57'!B23</f>
        <v>Phòng giao dịch số 8-KBNN KV II</v>
      </c>
      <c r="C25" s="877">
        <f>+'54'!C25</f>
        <v>10</v>
      </c>
      <c r="D25" s="1304"/>
      <c r="E25" s="877">
        <f>+'54'!E25</f>
        <v>10</v>
      </c>
      <c r="F25" s="1304"/>
      <c r="G25" s="877"/>
      <c r="H25" s="877"/>
      <c r="I25" s="877">
        <f>+'54'!I25</f>
        <v>10</v>
      </c>
      <c r="J25" s="877"/>
      <c r="K25" s="1324"/>
      <c r="L25" s="877">
        <f t="shared" si="4"/>
        <v>10</v>
      </c>
      <c r="M25" s="1324"/>
      <c r="N25" s="1304"/>
      <c r="O25" s="878"/>
      <c r="P25" s="878"/>
      <c r="Q25" s="877"/>
      <c r="R25" s="1305">
        <f t="shared" si="2"/>
        <v>100</v>
      </c>
      <c r="S25" s="1305"/>
      <c r="T25" s="1305">
        <f t="shared" si="1"/>
        <v>100</v>
      </c>
      <c r="U25" s="1305"/>
    </row>
    <row r="26" spans="1:21" s="39" customFormat="1" ht="42">
      <c r="A26" s="1331" t="str">
        <f>+'54'!A26</f>
        <v>II</v>
      </c>
      <c r="B26" s="1332" t="str">
        <f>+'54'!B26</f>
        <v>CHI TRẢ NỢ LÃI CÁC KHOẢN DO CHÍNH QUYỀN ĐỊA PHƯƠNG VAY (2)</v>
      </c>
      <c r="C26" s="1337"/>
      <c r="D26" s="1333"/>
      <c r="E26" s="1333"/>
      <c r="F26" s="1333"/>
      <c r="G26" s="1338"/>
      <c r="H26" s="1338"/>
      <c r="I26" s="1338"/>
      <c r="J26" s="1338"/>
      <c r="K26" s="1338"/>
      <c r="L26" s="1339"/>
      <c r="M26" s="1338"/>
      <c r="N26" s="1338"/>
      <c r="O26" s="1340"/>
      <c r="P26" s="1340"/>
      <c r="Q26" s="1339"/>
      <c r="R26" s="1341"/>
      <c r="S26" s="1342"/>
      <c r="T26" s="1341"/>
      <c r="U26" s="1337"/>
    </row>
    <row r="27" spans="1:21" s="39" customFormat="1" ht="31.5">
      <c r="A27" s="1331" t="str">
        <f>+'54'!A27</f>
        <v>III</v>
      </c>
      <c r="B27" s="1332" t="str">
        <f>+'54'!B27</f>
        <v>CHI BỔ SUNG QUỸ DỰ TRỮ TÀI CHÍNH (2)</v>
      </c>
      <c r="C27" s="1337"/>
      <c r="D27" s="1333"/>
      <c r="E27" s="1333"/>
      <c r="F27" s="1338"/>
      <c r="H27" s="1338"/>
      <c r="I27" s="1338"/>
      <c r="J27" s="1338"/>
      <c r="K27" s="1338"/>
      <c r="L27" s="1339"/>
      <c r="M27" s="1338"/>
      <c r="N27" s="1338"/>
      <c r="O27" s="1340"/>
      <c r="P27" s="1340"/>
      <c r="Q27" s="1339"/>
      <c r="R27" s="1341"/>
      <c r="S27" s="1342"/>
      <c r="T27" s="1341"/>
      <c r="U27" s="1337"/>
    </row>
    <row r="28" spans="1:21" s="39" customFormat="1" ht="21">
      <c r="A28" s="1331" t="str">
        <f>+'54'!A28</f>
        <v>IV</v>
      </c>
      <c r="B28" s="1332" t="str">
        <f>+'54'!B28</f>
        <v>DỰ PHÒNG NGÂN SÁCH</v>
      </c>
      <c r="C28" s="1337"/>
      <c r="D28" s="1333"/>
      <c r="E28" s="1333"/>
      <c r="F28" s="1333"/>
      <c r="G28" s="1338"/>
      <c r="H28" s="1338"/>
      <c r="I28" s="1338"/>
      <c r="J28" s="1338"/>
      <c r="K28" s="1338"/>
      <c r="L28" s="1339"/>
      <c r="M28" s="1338"/>
      <c r="N28" s="1338"/>
      <c r="O28" s="1340"/>
      <c r="P28" s="1340"/>
      <c r="Q28" s="1339"/>
      <c r="R28" s="1341"/>
      <c r="S28" s="1342"/>
      <c r="T28" s="1341"/>
      <c r="U28" s="1337"/>
    </row>
    <row r="29" spans="1:21" s="39" customFormat="1" ht="31.5">
      <c r="A29" s="1331" t="str">
        <f>+'54'!A29</f>
        <v>V</v>
      </c>
      <c r="B29" s="1332" t="str">
        <f>+'54'!B29</f>
        <v>CHI TẠO NGUỒN, ĐIỀU CHỈNH TIỀN LƯƠNG</v>
      </c>
      <c r="C29" s="1337"/>
      <c r="D29" s="1333"/>
      <c r="E29" s="1333"/>
      <c r="F29" s="1333"/>
      <c r="G29" s="1338"/>
      <c r="H29" s="1338"/>
      <c r="I29" s="1338"/>
      <c r="J29" s="1338"/>
      <c r="K29" s="1338"/>
      <c r="L29" s="1339"/>
      <c r="M29" s="1338"/>
      <c r="N29" s="1338"/>
      <c r="O29" s="1340"/>
      <c r="P29" s="1340"/>
      <c r="Q29" s="1339"/>
      <c r="R29" s="1341"/>
      <c r="S29" s="1342"/>
      <c r="T29" s="1341"/>
      <c r="U29" s="1337"/>
    </row>
    <row r="30" spans="1:21" s="39" customFormat="1" ht="21">
      <c r="A30" s="1331" t="str">
        <f>+'54'!A30</f>
        <v>VI</v>
      </c>
      <c r="B30" s="1332" t="str">
        <f>+'54'!B30</f>
        <v>CHI NỘP NGÂN SÁCH CẤP TRÊN</v>
      </c>
      <c r="C30" s="1337"/>
      <c r="D30" s="1333"/>
      <c r="E30" s="1333"/>
      <c r="F30" s="1333"/>
      <c r="G30" s="1338"/>
      <c r="H30" s="1338"/>
      <c r="I30" s="1343">
        <f>+'54'!I30</f>
        <v>180.12299999999999</v>
      </c>
      <c r="J30" s="1338"/>
      <c r="K30" s="1338"/>
      <c r="L30" s="1343">
        <f>+'54'!K30</f>
        <v>180.12299999999999</v>
      </c>
      <c r="M30" s="1338"/>
      <c r="N30" s="1338"/>
      <c r="O30" s="1340"/>
      <c r="P30" s="1340"/>
      <c r="Q30" s="1339"/>
      <c r="R30" s="1341"/>
      <c r="S30" s="1342"/>
      <c r="T30" s="1341"/>
      <c r="U30" s="1337"/>
    </row>
    <row r="31" spans="1:21" s="39" customFormat="1" ht="42">
      <c r="A31" s="1334" t="str">
        <f>+'54'!A31</f>
        <v>VII</v>
      </c>
      <c r="B31" s="1335" t="str">
        <f>+'54'!B31</f>
        <v>CHI CHUYỂN NGUỒN SANG NGÂN SÁCH NĂM SAU</v>
      </c>
      <c r="C31" s="1344"/>
      <c r="D31" s="1336"/>
      <c r="E31" s="1336"/>
      <c r="F31" s="1336"/>
      <c r="G31" s="1345"/>
      <c r="H31" s="1345"/>
      <c r="I31" s="1348">
        <f>+'54'!I31</f>
        <v>6834.0473460000003</v>
      </c>
      <c r="J31" s="1345"/>
      <c r="K31" s="1345"/>
      <c r="L31" s="1346"/>
      <c r="M31" s="1345"/>
      <c r="N31" s="1345"/>
      <c r="O31" s="1347"/>
      <c r="P31" s="1347"/>
      <c r="Q31" s="1348">
        <f>+'54'!O31</f>
        <v>6834.0473460000003</v>
      </c>
      <c r="R31" s="1349"/>
      <c r="S31" s="1350"/>
      <c r="T31" s="1349"/>
      <c r="U31" s="1344"/>
    </row>
    <row r="32" spans="1:21">
      <c r="A32" s="1325"/>
      <c r="B32" s="1325"/>
    </row>
  </sheetData>
  <mergeCells count="33">
    <mergeCell ref="T6:T8"/>
    <mergeCell ref="A5:A8"/>
    <mergeCell ref="B5:B8"/>
    <mergeCell ref="R5:U5"/>
    <mergeCell ref="C6:C8"/>
    <mergeCell ref="D6:D8"/>
    <mergeCell ref="E6:E8"/>
    <mergeCell ref="C5:H5"/>
    <mergeCell ref="I5:Q5"/>
    <mergeCell ref="U6:U8"/>
    <mergeCell ref="F7:F8"/>
    <mergeCell ref="G7:H7"/>
    <mergeCell ref="J7:J8"/>
    <mergeCell ref="L7:L8"/>
    <mergeCell ref="N7:N8"/>
    <mergeCell ref="Q6:Q8"/>
    <mergeCell ref="A1:C1"/>
    <mergeCell ref="J1:K1"/>
    <mergeCell ref="D4:F4"/>
    <mergeCell ref="K4:L4"/>
    <mergeCell ref="O4:P4"/>
    <mergeCell ref="A2:U2"/>
    <mergeCell ref="R1:U1"/>
    <mergeCell ref="Q4:U4"/>
    <mergeCell ref="A3:U3"/>
    <mergeCell ref="O7:P7"/>
    <mergeCell ref="F6:H6"/>
    <mergeCell ref="R6:R8"/>
    <mergeCell ref="S6:S8"/>
    <mergeCell ref="I6:I8"/>
    <mergeCell ref="J6:K6"/>
    <mergeCell ref="L6:M6"/>
    <mergeCell ref="N6:P6"/>
  </mergeCells>
  <phoneticPr fontId="31" type="noConversion"/>
  <printOptions horizontalCentered="1"/>
  <pageMargins left="0.28000000000000003" right="0.2" top="0.51" bottom="0.25" header="0.33" footer="0.19"/>
  <pageSetup paperSize="8" firstPageNumber="157" orientation="landscape" useFirstPageNumber="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sheetPr>
  <dimension ref="A1:Z12"/>
  <sheetViews>
    <sheetView zoomScale="85" zoomScaleNormal="85" workbookViewId="0">
      <selection activeCell="Y10" sqref="Y10"/>
    </sheetView>
  </sheetViews>
  <sheetFormatPr defaultColWidth="8.85546875" defaultRowHeight="15"/>
  <cols>
    <col min="1" max="1" width="4.28515625" style="385" customWidth="1"/>
    <col min="2" max="2" width="10.7109375" style="33" customWidth="1"/>
    <col min="3" max="3" width="10.42578125" style="33" customWidth="1"/>
    <col min="4" max="4" width="14" style="209" customWidth="1"/>
    <col min="5" max="5" width="12.42578125" style="209" customWidth="1"/>
    <col min="6" max="6" width="11.7109375" style="341" customWidth="1"/>
    <col min="7" max="7" width="9.7109375" style="28" customWidth="1"/>
    <col min="8" max="8" width="8.5703125" style="28" customWidth="1"/>
    <col min="9" max="9" width="5.42578125" style="28" customWidth="1"/>
    <col min="10" max="10" width="9.28515625" style="28" customWidth="1"/>
    <col min="11" max="11" width="9.5703125" style="28" customWidth="1"/>
    <col min="12" max="12" width="9.5703125" style="393" customWidth="1"/>
    <col min="13" max="13" width="9" style="28" customWidth="1"/>
    <col min="14" max="14" width="8.7109375" style="28" customWidth="1"/>
    <col min="15" max="15" width="11" style="57" customWidth="1"/>
    <col min="16" max="16" width="8.140625" style="57" customWidth="1"/>
    <col min="17" max="17" width="10.28515625" style="57" customWidth="1"/>
    <col min="18" max="18" width="9.5703125" style="393" customWidth="1"/>
    <col min="19" max="19" width="5.7109375" style="53" customWidth="1"/>
    <col min="20" max="20" width="6.28515625" style="26" customWidth="1"/>
    <col min="21" max="21" width="6" style="53" customWidth="1"/>
    <col min="22" max="22" width="5.7109375" style="33" customWidth="1"/>
    <col min="23" max="23" width="8.28515625" style="33" customWidth="1"/>
    <col min="24" max="24" width="8" style="33" customWidth="1"/>
    <col min="25" max="25" width="8.28515625" style="33" customWidth="1"/>
    <col min="26" max="26" width="7.140625" style="33" customWidth="1"/>
    <col min="27" max="16384" width="8.85546875" style="33"/>
  </cols>
  <sheetData>
    <row r="1" spans="1:26">
      <c r="A1" s="1216" t="s">
        <v>972</v>
      </c>
      <c r="B1" s="1216"/>
      <c r="C1" s="1216"/>
      <c r="D1" s="1216"/>
      <c r="E1" s="1214"/>
      <c r="F1" s="1214"/>
      <c r="G1" s="1217"/>
      <c r="H1" s="1214"/>
      <c r="I1" s="1214"/>
      <c r="J1" s="1214"/>
      <c r="K1" s="1214"/>
      <c r="L1" s="1214"/>
      <c r="M1" s="1214"/>
      <c r="N1" s="1214"/>
      <c r="O1" s="1214"/>
      <c r="P1" s="1214"/>
      <c r="Q1" s="1214"/>
      <c r="R1" s="1214"/>
      <c r="S1" s="1214"/>
      <c r="T1" s="1214"/>
      <c r="U1" s="1214"/>
      <c r="V1" s="1214"/>
      <c r="W1" s="1214"/>
      <c r="X1" s="1214"/>
      <c r="Y1" s="1213" t="s">
        <v>1434</v>
      </c>
      <c r="Z1" s="1214"/>
    </row>
    <row r="2" spans="1:26" ht="27" customHeight="1">
      <c r="A2" s="1841" t="s">
        <v>1224</v>
      </c>
      <c r="B2" s="1841"/>
      <c r="C2" s="1841"/>
      <c r="D2" s="1841"/>
      <c r="E2" s="1841"/>
      <c r="F2" s="1841"/>
      <c r="G2" s="1841"/>
      <c r="H2" s="1841"/>
      <c r="I2" s="1841"/>
      <c r="J2" s="1841"/>
      <c r="K2" s="1841"/>
      <c r="L2" s="1841"/>
      <c r="M2" s="1841"/>
      <c r="N2" s="1841"/>
      <c r="O2" s="1841"/>
      <c r="P2" s="1841"/>
      <c r="Q2" s="1841"/>
      <c r="R2" s="1841"/>
      <c r="S2" s="1841"/>
      <c r="T2" s="1841"/>
      <c r="U2" s="1841"/>
      <c r="V2" s="1841"/>
      <c r="W2" s="1841"/>
      <c r="X2" s="1841"/>
      <c r="Y2" s="1841"/>
      <c r="Z2" s="1841"/>
    </row>
    <row r="3" spans="1:26" ht="27" customHeight="1">
      <c r="A3" s="1788" t="str">
        <f>+'49'!A3:E3</f>
        <v>(Kèm theo Báo cáo số 151/BC-UBND ngày 20/3/2026 của UBND xã Cường Lợi)</v>
      </c>
      <c r="B3" s="1788"/>
      <c r="C3" s="1788"/>
      <c r="D3" s="1788"/>
      <c r="E3" s="1788"/>
      <c r="F3" s="1788"/>
      <c r="G3" s="1788"/>
      <c r="H3" s="1788"/>
      <c r="I3" s="1788"/>
      <c r="J3" s="1788"/>
      <c r="K3" s="1788"/>
      <c r="L3" s="1788"/>
      <c r="M3" s="1788"/>
      <c r="N3" s="1788"/>
      <c r="O3" s="1788"/>
      <c r="P3" s="1788"/>
      <c r="Q3" s="1788"/>
      <c r="R3" s="1788"/>
      <c r="S3" s="1788"/>
      <c r="T3" s="1788"/>
      <c r="U3" s="1788"/>
      <c r="V3" s="1788"/>
      <c r="W3" s="1788"/>
      <c r="X3" s="1788"/>
      <c r="Y3" s="1788"/>
      <c r="Z3" s="1788"/>
    </row>
    <row r="4" spans="1:26" s="52" customFormat="1" ht="16.5" customHeight="1">
      <c r="A4" s="1842" t="s">
        <v>290</v>
      </c>
      <c r="B4" s="1842"/>
      <c r="C4" s="1842"/>
      <c r="D4" s="1842"/>
      <c r="E4" s="1842"/>
      <c r="F4" s="1842"/>
      <c r="G4" s="1842"/>
      <c r="H4" s="1842"/>
      <c r="I4" s="1842"/>
      <c r="J4" s="1842"/>
      <c r="K4" s="1842"/>
      <c r="L4" s="1842"/>
      <c r="M4" s="1842"/>
      <c r="N4" s="1842"/>
      <c r="O4" s="1842"/>
      <c r="P4" s="1842"/>
      <c r="Q4" s="1842"/>
      <c r="R4" s="1842"/>
      <c r="S4" s="1842"/>
      <c r="T4" s="1842"/>
      <c r="U4" s="1842"/>
      <c r="V4" s="1842"/>
      <c r="W4" s="1842"/>
      <c r="X4" s="1842"/>
      <c r="Y4" s="1842"/>
      <c r="Z4" s="1842"/>
    </row>
    <row r="5" spans="1:26" s="52" customFormat="1" ht="21.75" customHeight="1">
      <c r="A5" s="1840" t="s">
        <v>291</v>
      </c>
      <c r="B5" s="1840" t="s">
        <v>388</v>
      </c>
      <c r="C5" s="1840" t="s">
        <v>293</v>
      </c>
      <c r="D5" s="1840"/>
      <c r="E5" s="1840"/>
      <c r="F5" s="1840"/>
      <c r="G5" s="1840"/>
      <c r="H5" s="1840"/>
      <c r="I5" s="1840"/>
      <c r="J5" s="1840"/>
      <c r="K5" s="1840" t="s">
        <v>136</v>
      </c>
      <c r="L5" s="1840"/>
      <c r="M5" s="1840"/>
      <c r="N5" s="1840"/>
      <c r="O5" s="1840"/>
      <c r="P5" s="1840"/>
      <c r="Q5" s="1840"/>
      <c r="R5" s="1840"/>
      <c r="S5" s="1840" t="s">
        <v>391</v>
      </c>
      <c r="T5" s="1840"/>
      <c r="U5" s="1840"/>
      <c r="V5" s="1840"/>
      <c r="W5" s="1840"/>
      <c r="X5" s="1840"/>
      <c r="Y5" s="1840"/>
      <c r="Z5" s="1840"/>
    </row>
    <row r="6" spans="1:26" s="52" customFormat="1" ht="15" customHeight="1">
      <c r="A6" s="1840"/>
      <c r="B6" s="1840"/>
      <c r="C6" s="1840" t="s">
        <v>142</v>
      </c>
      <c r="D6" s="1840" t="s">
        <v>161</v>
      </c>
      <c r="E6" s="1840" t="s">
        <v>47</v>
      </c>
      <c r="F6" s="1840"/>
      <c r="G6" s="1840"/>
      <c r="H6" s="1840"/>
      <c r="I6" s="1840"/>
      <c r="J6" s="1840"/>
      <c r="K6" s="1840" t="s">
        <v>142</v>
      </c>
      <c r="L6" s="1840" t="s">
        <v>161</v>
      </c>
      <c r="M6" s="1840" t="s">
        <v>47</v>
      </c>
      <c r="N6" s="1840"/>
      <c r="O6" s="1840"/>
      <c r="P6" s="1840"/>
      <c r="Q6" s="1840"/>
      <c r="R6" s="1840"/>
      <c r="S6" s="1840" t="s">
        <v>142</v>
      </c>
      <c r="T6" s="1840" t="s">
        <v>161</v>
      </c>
      <c r="U6" s="1840" t="s">
        <v>47</v>
      </c>
      <c r="V6" s="1840"/>
      <c r="W6" s="1840"/>
      <c r="X6" s="1840"/>
      <c r="Y6" s="1840"/>
      <c r="Z6" s="1840"/>
    </row>
    <row r="7" spans="1:26" s="52" customFormat="1" ht="52.5" customHeight="1">
      <c r="A7" s="1840"/>
      <c r="B7" s="1840"/>
      <c r="C7" s="1840"/>
      <c r="D7" s="1840"/>
      <c r="E7" s="1840" t="s">
        <v>142</v>
      </c>
      <c r="F7" s="1840" t="s">
        <v>222</v>
      </c>
      <c r="G7" s="1840"/>
      <c r="H7" s="1840" t="s">
        <v>392</v>
      </c>
      <c r="I7" s="1840" t="s">
        <v>393</v>
      </c>
      <c r="J7" s="1840" t="s">
        <v>394</v>
      </c>
      <c r="K7" s="1840"/>
      <c r="L7" s="1840"/>
      <c r="M7" s="1840" t="s">
        <v>142</v>
      </c>
      <c r="N7" s="1840" t="s">
        <v>222</v>
      </c>
      <c r="O7" s="1840"/>
      <c r="P7" s="1840" t="s">
        <v>392</v>
      </c>
      <c r="Q7" s="1840" t="s">
        <v>393</v>
      </c>
      <c r="R7" s="1840" t="s">
        <v>394</v>
      </c>
      <c r="S7" s="1840"/>
      <c r="T7" s="1840"/>
      <c r="U7" s="1840" t="s">
        <v>142</v>
      </c>
      <c r="V7" s="1840" t="s">
        <v>222</v>
      </c>
      <c r="W7" s="1840"/>
      <c r="X7" s="1840" t="s">
        <v>392</v>
      </c>
      <c r="Y7" s="1840" t="s">
        <v>393</v>
      </c>
      <c r="Z7" s="1840" t="s">
        <v>394</v>
      </c>
    </row>
    <row r="8" spans="1:26" s="805" customFormat="1" ht="41.45" customHeight="1">
      <c r="A8" s="1840"/>
      <c r="B8" s="1840"/>
      <c r="C8" s="1840"/>
      <c r="D8" s="1840"/>
      <c r="E8" s="1840"/>
      <c r="F8" s="1212" t="s">
        <v>395</v>
      </c>
      <c r="G8" s="1218" t="s">
        <v>239</v>
      </c>
      <c r="H8" s="1840"/>
      <c r="I8" s="1840"/>
      <c r="J8" s="1840"/>
      <c r="K8" s="1840"/>
      <c r="L8" s="1840"/>
      <c r="M8" s="1840"/>
      <c r="N8" s="1212" t="s">
        <v>395</v>
      </c>
      <c r="O8" s="1212" t="s">
        <v>239</v>
      </c>
      <c r="P8" s="1840"/>
      <c r="Q8" s="1840"/>
      <c r="R8" s="1840"/>
      <c r="S8" s="1840"/>
      <c r="T8" s="1840"/>
      <c r="U8" s="1840"/>
      <c r="V8" s="1212" t="s">
        <v>395</v>
      </c>
      <c r="W8" s="1212" t="s">
        <v>239</v>
      </c>
      <c r="X8" s="1840"/>
      <c r="Y8" s="1840"/>
      <c r="Z8" s="1840"/>
    </row>
    <row r="9" spans="1:26" s="374" customFormat="1" ht="24" customHeight="1">
      <c r="A9" s="1212" t="s">
        <v>294</v>
      </c>
      <c r="B9" s="1212" t="s">
        <v>295</v>
      </c>
      <c r="C9" s="1212">
        <v>1</v>
      </c>
      <c r="D9" s="1212">
        <v>2</v>
      </c>
      <c r="E9" s="1212" t="s">
        <v>396</v>
      </c>
      <c r="F9" s="1212">
        <v>4</v>
      </c>
      <c r="G9" s="1212">
        <v>5</v>
      </c>
      <c r="H9" s="1212">
        <v>6</v>
      </c>
      <c r="I9" s="1212">
        <v>7</v>
      </c>
      <c r="J9" s="1212">
        <v>8</v>
      </c>
      <c r="K9" s="1212">
        <v>9</v>
      </c>
      <c r="L9" s="1212">
        <v>10</v>
      </c>
      <c r="M9" s="1212" t="s">
        <v>232</v>
      </c>
      <c r="N9" s="1212">
        <v>12</v>
      </c>
      <c r="O9" s="1212">
        <v>13</v>
      </c>
      <c r="P9" s="1212">
        <v>14</v>
      </c>
      <c r="Q9" s="1212">
        <v>15</v>
      </c>
      <c r="R9" s="1212">
        <v>16</v>
      </c>
      <c r="S9" s="1212" t="s">
        <v>397</v>
      </c>
      <c r="T9" s="1212" t="s">
        <v>398</v>
      </c>
      <c r="U9" s="1212" t="s">
        <v>399</v>
      </c>
      <c r="V9" s="1212" t="s">
        <v>400</v>
      </c>
      <c r="W9" s="1212" t="s">
        <v>401</v>
      </c>
      <c r="X9" s="1212" t="s">
        <v>402</v>
      </c>
      <c r="Y9" s="1212" t="s">
        <v>403</v>
      </c>
      <c r="Z9" s="1212" t="s">
        <v>404</v>
      </c>
    </row>
    <row r="10" spans="1:26" s="373" customFormat="1" ht="26.25" customHeight="1">
      <c r="A10" s="1219"/>
      <c r="B10" s="1220" t="s">
        <v>447</v>
      </c>
      <c r="C10" s="1219"/>
      <c r="D10" s="1219"/>
      <c r="E10" s="1219"/>
      <c r="F10" s="1219"/>
      <c r="G10" s="1221"/>
      <c r="H10" s="1219"/>
      <c r="I10" s="1219"/>
      <c r="J10" s="1219"/>
      <c r="K10" s="1219"/>
      <c r="L10" s="1219"/>
      <c r="M10" s="1219"/>
      <c r="N10" s="1219"/>
      <c r="O10" s="1219"/>
      <c r="P10" s="1219"/>
      <c r="Q10" s="1219"/>
      <c r="R10" s="1219"/>
      <c r="S10" s="1219"/>
      <c r="T10" s="1219"/>
      <c r="U10" s="1219"/>
      <c r="V10" s="1219"/>
      <c r="W10" s="1219"/>
      <c r="X10" s="1219"/>
      <c r="Y10" s="1219"/>
      <c r="Z10" s="1219"/>
    </row>
    <row r="11" spans="1:26" s="373" customFormat="1" ht="26.25" customHeight="1">
      <c r="A11" s="1222">
        <v>1</v>
      </c>
      <c r="B11" s="1219" t="s">
        <v>515</v>
      </c>
      <c r="C11" s="1538">
        <f>+D11+E11</f>
        <v>76858</v>
      </c>
      <c r="D11" s="1538">
        <f>+'48.QTCĐNSĐP'!C19</f>
        <v>63393</v>
      </c>
      <c r="E11" s="1538">
        <f>+F11+G11</f>
        <v>13465</v>
      </c>
      <c r="F11" s="1538"/>
      <c r="G11" s="1539">
        <f>+H11+J11</f>
        <v>13465</v>
      </c>
      <c r="H11" s="1538">
        <v>322</v>
      </c>
      <c r="I11" s="1540"/>
      <c r="J11" s="1540">
        <f>+'51'!C29</f>
        <v>13143</v>
      </c>
      <c r="K11" s="1540">
        <f>+L11+M11</f>
        <v>96432.723569000009</v>
      </c>
      <c r="L11" s="1540">
        <f>+'53'!H9</f>
        <v>57246.243655000006</v>
      </c>
      <c r="M11" s="1538">
        <f>+N11+O11</f>
        <v>39186.479914000003</v>
      </c>
      <c r="N11" s="1538"/>
      <c r="O11" s="1538">
        <f>+Q11+R11</f>
        <v>39186.479914000003</v>
      </c>
      <c r="P11" s="1538"/>
      <c r="Q11" s="1538">
        <f>+'53'!F44+'53'!F40</f>
        <v>19926.343859000001</v>
      </c>
      <c r="R11" s="1538">
        <f>+'53'!F30</f>
        <v>19260.136055000003</v>
      </c>
      <c r="S11" s="1542">
        <f>+K11/C11</f>
        <v>1.2546868714902808</v>
      </c>
      <c r="T11" s="1542">
        <f>+L11/D11</f>
        <v>0.9030373015159403</v>
      </c>
      <c r="U11" s="1542">
        <f>+M11/E11</f>
        <v>2.9102473014481993</v>
      </c>
      <c r="V11" s="1542"/>
      <c r="W11" s="1542">
        <f>+O11/G11</f>
        <v>2.9102473014481993</v>
      </c>
      <c r="X11" s="1542"/>
      <c r="Y11" s="1542"/>
      <c r="Z11" s="1542">
        <f>+R11/J11</f>
        <v>1.4654292060412388</v>
      </c>
    </row>
    <row r="12" spans="1:26" s="373" customFormat="1" ht="31.9" customHeight="1">
      <c r="A12" s="1215" t="s">
        <v>1110</v>
      </c>
      <c r="B12" s="1214"/>
      <c r="C12" s="1214"/>
      <c r="D12" s="1214"/>
      <c r="E12" s="1214"/>
      <c r="F12" s="1214"/>
      <c r="G12" s="1217"/>
      <c r="H12" s="1214"/>
      <c r="I12" s="1214"/>
      <c r="J12" s="1214"/>
      <c r="K12" s="1541"/>
      <c r="L12" s="1214"/>
      <c r="M12" s="1214"/>
      <c r="N12" s="1214"/>
      <c r="O12" s="1214"/>
      <c r="P12" s="1214"/>
      <c r="Q12" s="1214"/>
      <c r="R12" s="1214"/>
      <c r="S12" s="1214"/>
      <c r="T12" s="1214"/>
      <c r="U12" s="1214"/>
      <c r="V12" s="1214"/>
      <c r="W12" s="1214"/>
      <c r="X12" s="1214"/>
      <c r="Y12" s="1214"/>
      <c r="Z12" s="1214"/>
    </row>
  </sheetData>
  <mergeCells count="32">
    <mergeCell ref="Y7:Y8"/>
    <mergeCell ref="Z7:Z8"/>
    <mergeCell ref="A2:Z2"/>
    <mergeCell ref="N7:O7"/>
    <mergeCell ref="P7:P8"/>
    <mergeCell ref="Q7:Q8"/>
    <mergeCell ref="R7:R8"/>
    <mergeCell ref="U7:U8"/>
    <mergeCell ref="V7:W7"/>
    <mergeCell ref="A3:Z3"/>
    <mergeCell ref="A4:Z4"/>
    <mergeCell ref="H7:H8"/>
    <mergeCell ref="I7:I8"/>
    <mergeCell ref="J7:J8"/>
    <mergeCell ref="M7:M8"/>
    <mergeCell ref="X7:X8"/>
    <mergeCell ref="A5:A8"/>
    <mergeCell ref="B5:B8"/>
    <mergeCell ref="T6:T8"/>
    <mergeCell ref="U6:Z6"/>
    <mergeCell ref="E7:E8"/>
    <mergeCell ref="F7:G7"/>
    <mergeCell ref="C5:J5"/>
    <mergeCell ref="K5:R5"/>
    <mergeCell ref="S5:Z5"/>
    <mergeCell ref="C6:C8"/>
    <mergeCell ref="D6:D8"/>
    <mergeCell ref="E6:J6"/>
    <mergeCell ref="K6:K8"/>
    <mergeCell ref="L6:L8"/>
    <mergeCell ref="M6:R6"/>
    <mergeCell ref="S6:S8"/>
  </mergeCells>
  <pageMargins left="0.28000000000000003" right="0.2" top="0.51" bottom="0.25" header="0.33" footer="0.19"/>
  <pageSetup paperSize="8" scale="90" firstPageNumber="157" orientation="landscape" useFirstPageNumber="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theme="0"/>
  </sheetPr>
  <dimension ref="A1:K10"/>
  <sheetViews>
    <sheetView workbookViewId="0">
      <selection activeCell="H15" sqref="H15"/>
    </sheetView>
  </sheetViews>
  <sheetFormatPr defaultColWidth="9.28515625" defaultRowHeight="15"/>
  <cols>
    <col min="1" max="1" width="6.28515625" style="391" customWidth="1"/>
    <col min="2" max="2" width="21.5703125" style="391" customWidth="1"/>
    <col min="3" max="3" width="21.7109375" style="881" customWidth="1"/>
    <col min="4" max="4" width="20.5703125" style="881" customWidth="1"/>
    <col min="5" max="5" width="20" style="881" customWidth="1"/>
    <col min="6" max="6" width="13.7109375" style="881" customWidth="1"/>
    <col min="7" max="7" width="17.28515625" style="881" customWidth="1"/>
    <col min="8" max="8" width="18" style="881" customWidth="1"/>
    <col min="9" max="16384" width="9.28515625" style="391"/>
  </cols>
  <sheetData>
    <row r="1" spans="1:11" ht="16.5">
      <c r="A1" s="1847" t="str">
        <f>+'61'!A1:D1</f>
        <v>UBND XÃ CƯỜNG LỢI</v>
      </c>
      <c r="B1" s="1848"/>
      <c r="C1" s="1848"/>
      <c r="G1" s="1843" t="s">
        <v>1435</v>
      </c>
      <c r="H1" s="1843"/>
    </row>
    <row r="2" spans="1:11" ht="19.5" customHeight="1">
      <c r="A2" s="1793" t="s">
        <v>1107</v>
      </c>
      <c r="B2" s="1793"/>
      <c r="C2" s="1793"/>
      <c r="D2" s="1793"/>
      <c r="E2" s="1793"/>
      <c r="F2" s="1793"/>
      <c r="G2" s="1793"/>
      <c r="H2" s="1793"/>
    </row>
    <row r="3" spans="1:11" s="33" customFormat="1" ht="27" customHeight="1">
      <c r="A3" s="1788" t="str">
        <f>+'49'!A3:E3</f>
        <v>(Kèm theo Báo cáo số 151/BC-UBND ngày 20/3/2026 của UBND xã Cường Lợi)</v>
      </c>
      <c r="B3" s="1788"/>
      <c r="C3" s="1788"/>
      <c r="D3" s="1788"/>
      <c r="E3" s="1788"/>
      <c r="F3" s="1788"/>
      <c r="G3" s="1788"/>
      <c r="H3" s="1788"/>
      <c r="I3" s="1588"/>
      <c r="J3" s="1588"/>
      <c r="K3" s="1588"/>
    </row>
    <row r="4" spans="1:11" ht="15.75">
      <c r="G4" s="1846" t="s">
        <v>290</v>
      </c>
      <c r="H4" s="1846"/>
    </row>
    <row r="5" spans="1:11" s="882" customFormat="1" ht="21.75" customHeight="1">
      <c r="A5" s="1844" t="s">
        <v>291</v>
      </c>
      <c r="B5" s="1844" t="s">
        <v>943</v>
      </c>
      <c r="C5" s="1845" t="s">
        <v>405</v>
      </c>
      <c r="D5" s="1845" t="s">
        <v>231</v>
      </c>
      <c r="E5" s="1845"/>
      <c r="F5" s="1845"/>
      <c r="G5" s="1845"/>
      <c r="H5" s="1845"/>
    </row>
    <row r="6" spans="1:11" s="220" customFormat="1" ht="72.75" customHeight="1">
      <c r="A6" s="1844"/>
      <c r="B6" s="1844"/>
      <c r="C6" s="1845"/>
      <c r="D6" s="883" t="s">
        <v>406</v>
      </c>
      <c r="E6" s="883" t="s">
        <v>407</v>
      </c>
      <c r="F6" s="883" t="s">
        <v>408</v>
      </c>
      <c r="G6" s="883" t="s">
        <v>374</v>
      </c>
      <c r="H6" s="883" t="s">
        <v>409</v>
      </c>
    </row>
    <row r="7" spans="1:11" s="886" customFormat="1" ht="21" customHeight="1">
      <c r="A7" s="884" t="s">
        <v>294</v>
      </c>
      <c r="B7" s="884" t="s">
        <v>295</v>
      </c>
      <c r="C7" s="885">
        <v>1</v>
      </c>
      <c r="D7" s="885">
        <v>2</v>
      </c>
      <c r="E7" s="885">
        <v>3</v>
      </c>
      <c r="F7" s="885">
        <v>4</v>
      </c>
      <c r="G7" s="885">
        <v>5</v>
      </c>
      <c r="H7" s="885">
        <v>6</v>
      </c>
    </row>
    <row r="8" spans="1:11" s="220" customFormat="1" ht="24" customHeight="1">
      <c r="A8" s="210"/>
      <c r="B8" s="210" t="s">
        <v>447</v>
      </c>
      <c r="C8" s="887">
        <f t="shared" ref="C8:H8" si="0">SUM(C9:C9)</f>
        <v>104008.109537</v>
      </c>
      <c r="D8" s="887">
        <f t="shared" si="0"/>
        <v>1.5</v>
      </c>
      <c r="E8" s="887">
        <f t="shared" si="0"/>
        <v>97826.807253999999</v>
      </c>
      <c r="F8" s="887">
        <f t="shared" si="0"/>
        <v>0</v>
      </c>
      <c r="G8" s="887">
        <f t="shared" si="0"/>
        <v>5999.9802829999999</v>
      </c>
      <c r="H8" s="887">
        <f t="shared" si="0"/>
        <v>179.822</v>
      </c>
    </row>
    <row r="9" spans="1:11" s="220" customFormat="1" ht="27" customHeight="1">
      <c r="A9" s="888">
        <v>1</v>
      </c>
      <c r="B9" s="889" t="s">
        <v>515</v>
      </c>
      <c r="C9" s="890">
        <f>SUM(D9:H9)</f>
        <v>104008.109537</v>
      </c>
      <c r="D9" s="890">
        <v>1.5</v>
      </c>
      <c r="E9" s="890">
        <f>+'48.QTCĐNSĐP'!D12</f>
        <v>97826.807253999999</v>
      </c>
      <c r="F9" s="890"/>
      <c r="G9" s="890">
        <f>+'48.QTCĐNSĐP'!D17</f>
        <v>5999.9802829999999</v>
      </c>
      <c r="H9" s="890">
        <f>+'48.QTCĐNSĐP'!D16</f>
        <v>179.822</v>
      </c>
    </row>
    <row r="10" spans="1:11" ht="15.75">
      <c r="B10" s="882"/>
      <c r="C10" s="891"/>
    </row>
  </sheetData>
  <mergeCells count="9">
    <mergeCell ref="G1:H1"/>
    <mergeCell ref="A2:H2"/>
    <mergeCell ref="A5:A6"/>
    <mergeCell ref="B5:B6"/>
    <mergeCell ref="C5:C6"/>
    <mergeCell ref="D5:H5"/>
    <mergeCell ref="G4:H4"/>
    <mergeCell ref="A1:C1"/>
    <mergeCell ref="A3:H3"/>
  </mergeCells>
  <phoneticPr fontId="31" type="noConversion"/>
  <pageMargins left="0.57999999999999996" right="0.2" top="0.59" bottom="0.28000000000000003" header="0.2" footer="0.2"/>
  <pageSetup paperSize="9" firstPageNumber="157" orientation="landscape" useFirstPageNumber="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theme="0"/>
  </sheetPr>
  <dimension ref="A1:AD43"/>
  <sheetViews>
    <sheetView zoomScale="130" zoomScaleNormal="130" workbookViewId="0">
      <pane xSplit="2" ySplit="9" topLeftCell="K10" activePane="bottomRight" state="frozen"/>
      <selection pane="topRight" activeCell="C1" sqref="C1"/>
      <selection pane="bottomLeft" activeCell="A9" sqref="A9"/>
      <selection pane="bottomRight" activeCell="AD11" sqref="AD11"/>
    </sheetView>
  </sheetViews>
  <sheetFormatPr defaultColWidth="8.5703125" defaultRowHeight="15"/>
  <cols>
    <col min="1" max="1" width="4" style="925" bestFit="1" customWidth="1"/>
    <col min="2" max="2" width="12.42578125" style="897" customWidth="1"/>
    <col min="3" max="3" width="12" style="57" customWidth="1"/>
    <col min="4" max="4" width="10" style="57" customWidth="1"/>
    <col min="5" max="5" width="11" style="57" customWidth="1"/>
    <col min="6" max="6" width="10.7109375" style="57" customWidth="1"/>
    <col min="7" max="7" width="4.140625" style="57" customWidth="1"/>
    <col min="8" max="8" width="10" style="57" customWidth="1"/>
    <col min="9" max="9" width="10.42578125" style="57" customWidth="1"/>
    <col min="10" max="10" width="10.5703125" style="393" customWidth="1"/>
    <col min="11" max="11" width="9.140625" style="57" customWidth="1"/>
    <col min="12" max="12" width="10.85546875" style="57" customWidth="1"/>
    <col min="13" max="13" width="10.28515625" style="393" customWidth="1"/>
    <col min="14" max="14" width="10" style="57" customWidth="1"/>
    <col min="15" max="15" width="10.85546875" style="57" customWidth="1"/>
    <col min="16" max="16" width="10.140625" style="393" customWidth="1"/>
    <col min="17" max="17" width="10.28515625" style="57" customWidth="1"/>
    <col min="18" max="18" width="10.7109375" style="57" customWidth="1"/>
    <col min="19" max="19" width="5.7109375" style="57" customWidth="1"/>
    <col min="20" max="20" width="10.42578125" style="57" customWidth="1"/>
    <col min="21" max="21" width="11.28515625" style="57" customWidth="1"/>
    <col min="22" max="22" width="10.28515625" style="393" customWidth="1"/>
    <col min="23" max="23" width="9.42578125" style="57" customWidth="1"/>
    <col min="24" max="24" width="11" style="57" customWidth="1"/>
    <col min="25" max="25" width="10.42578125" style="393" customWidth="1"/>
    <col min="26" max="26" width="11.140625" style="57" customWidth="1"/>
    <col min="27" max="27" width="6.5703125" style="57" hidden="1" customWidth="1"/>
    <col min="28" max="28" width="6.7109375" style="28" customWidth="1"/>
    <col min="29" max="29" width="7.140625" style="28" customWidth="1"/>
    <col min="30" max="30" width="6.7109375" style="29" customWidth="1"/>
    <col min="31" max="16384" width="8.5703125" style="28"/>
  </cols>
  <sheetData>
    <row r="1" spans="1:30" s="31" customFormat="1" ht="12.75">
      <c r="A1" s="1861" t="s">
        <v>972</v>
      </c>
      <c r="B1" s="1861"/>
      <c r="C1" s="1861"/>
      <c r="D1" s="1861"/>
      <c r="E1" s="922"/>
      <c r="F1" s="922"/>
      <c r="G1" s="922"/>
      <c r="H1" s="922"/>
      <c r="I1" s="923"/>
      <c r="J1" s="1858"/>
      <c r="K1" s="1858"/>
      <c r="L1" s="922"/>
      <c r="M1" s="1858"/>
      <c r="N1" s="1858"/>
      <c r="O1" s="922"/>
      <c r="P1" s="880"/>
      <c r="Q1" s="922"/>
      <c r="R1" s="922"/>
      <c r="S1" s="922"/>
      <c r="T1" s="922"/>
      <c r="U1" s="923"/>
      <c r="V1" s="1858"/>
      <c r="W1" s="1858"/>
      <c r="X1" s="922"/>
      <c r="Y1" s="880"/>
      <c r="Z1" s="922"/>
      <c r="AA1" s="922"/>
      <c r="AB1" s="1859" t="s">
        <v>1436</v>
      </c>
      <c r="AC1" s="1859"/>
      <c r="AD1" s="1859"/>
    </row>
    <row r="2" spans="1:30" ht="23.25" customHeight="1">
      <c r="A2" s="1780" t="s">
        <v>1098</v>
      </c>
      <c r="B2" s="1860"/>
      <c r="C2" s="1860"/>
      <c r="D2" s="1860"/>
      <c r="E2" s="1860"/>
      <c r="F2" s="1860"/>
      <c r="G2" s="1860"/>
      <c r="H2" s="1860"/>
      <c r="I2" s="1860"/>
      <c r="J2" s="1860"/>
      <c r="K2" s="1860"/>
      <c r="L2" s="1860"/>
      <c r="M2" s="1860"/>
      <c r="N2" s="1860"/>
      <c r="O2" s="1860"/>
      <c r="P2" s="1860"/>
      <c r="Q2" s="1860"/>
      <c r="R2" s="1860"/>
      <c r="S2" s="1860"/>
      <c r="T2" s="1860"/>
      <c r="U2" s="1860"/>
      <c r="V2" s="1860"/>
      <c r="W2" s="1860"/>
      <c r="X2" s="1860"/>
      <c r="Y2" s="1860"/>
      <c r="Z2" s="1860"/>
      <c r="AA2" s="1860"/>
      <c r="AB2" s="1860"/>
      <c r="AC2" s="1860"/>
      <c r="AD2" s="1860"/>
    </row>
    <row r="3" spans="1:30" s="33" customFormat="1" ht="27" customHeight="1">
      <c r="A3" s="1788" t="str">
        <f>+'49'!A3:E3</f>
        <v>(Kèm theo Báo cáo số 151/BC-UBND ngày 20/3/2026 của UBND xã Cường Lợi)</v>
      </c>
      <c r="B3" s="1788"/>
      <c r="C3" s="1788"/>
      <c r="D3" s="1788"/>
      <c r="E3" s="1788"/>
      <c r="F3" s="1788"/>
      <c r="G3" s="1788"/>
      <c r="H3" s="1788"/>
      <c r="I3" s="1788"/>
      <c r="J3" s="1788"/>
      <c r="K3" s="1788"/>
      <c r="L3" s="1788"/>
      <c r="M3" s="1788"/>
      <c r="N3" s="1788"/>
      <c r="O3" s="1788"/>
      <c r="P3" s="1788"/>
      <c r="Q3" s="1788"/>
      <c r="R3" s="1788"/>
      <c r="S3" s="1788"/>
      <c r="T3" s="1788"/>
      <c r="U3" s="1788"/>
      <c r="V3" s="1788"/>
      <c r="W3" s="1788"/>
      <c r="X3" s="1788"/>
      <c r="Y3" s="1788"/>
      <c r="Z3" s="1788"/>
      <c r="AA3" s="1788"/>
      <c r="AB3" s="1788"/>
      <c r="AC3" s="1788"/>
      <c r="AD3" s="1788"/>
    </row>
    <row r="4" spans="1:30">
      <c r="C4" s="926"/>
      <c r="D4" s="927"/>
      <c r="E4" s="927"/>
      <c r="F4" s="928"/>
      <c r="G4" s="1874"/>
      <c r="H4" s="1874"/>
      <c r="I4" s="906"/>
      <c r="L4" s="1863"/>
      <c r="M4" s="1863"/>
      <c r="N4" s="929"/>
      <c r="O4" s="930"/>
      <c r="P4" s="931"/>
      <c r="Q4" s="932"/>
      <c r="U4" s="933"/>
      <c r="V4" s="934"/>
      <c r="W4" s="935"/>
      <c r="X4" s="927"/>
      <c r="Y4" s="927"/>
      <c r="Z4" s="929"/>
      <c r="AA4" s="929"/>
      <c r="AB4" s="1872" t="s">
        <v>205</v>
      </c>
      <c r="AC4" s="1873"/>
      <c r="AD4" s="1873"/>
    </row>
    <row r="5" spans="1:30" s="892" customFormat="1" ht="10.5" customHeight="1">
      <c r="A5" s="1871" t="s">
        <v>291</v>
      </c>
      <c r="B5" s="1857" t="s">
        <v>135</v>
      </c>
      <c r="C5" s="1849" t="s">
        <v>293</v>
      </c>
      <c r="D5" s="1855"/>
      <c r="E5" s="1855"/>
      <c r="F5" s="1855"/>
      <c r="G5" s="1855"/>
      <c r="H5" s="1855"/>
      <c r="I5" s="1855"/>
      <c r="J5" s="1855"/>
      <c r="K5" s="1855"/>
      <c r="L5" s="1855"/>
      <c r="M5" s="1855"/>
      <c r="N5" s="1855"/>
      <c r="O5" s="1849" t="s">
        <v>136</v>
      </c>
      <c r="P5" s="1855"/>
      <c r="Q5" s="1855"/>
      <c r="R5" s="1855"/>
      <c r="S5" s="1855"/>
      <c r="T5" s="1855"/>
      <c r="U5" s="1855"/>
      <c r="V5" s="1855"/>
      <c r="W5" s="1855"/>
      <c r="X5" s="1855"/>
      <c r="Y5" s="1855"/>
      <c r="Z5" s="1855"/>
      <c r="AA5" s="1856" t="s">
        <v>652</v>
      </c>
      <c r="AB5" s="1857" t="s">
        <v>158</v>
      </c>
      <c r="AC5" s="1857"/>
      <c r="AD5" s="1857"/>
    </row>
    <row r="6" spans="1:30" s="892" customFormat="1" ht="20.25" customHeight="1">
      <c r="A6" s="1871"/>
      <c r="B6" s="1857"/>
      <c r="C6" s="1856" t="s">
        <v>142</v>
      </c>
      <c r="D6" s="1856" t="s">
        <v>231</v>
      </c>
      <c r="E6" s="1856"/>
      <c r="F6" s="1849" t="s">
        <v>587</v>
      </c>
      <c r="G6" s="1855"/>
      <c r="H6" s="1850"/>
      <c r="I6" s="1849" t="s">
        <v>588</v>
      </c>
      <c r="J6" s="1855"/>
      <c r="K6" s="1850"/>
      <c r="L6" s="1849" t="s">
        <v>589</v>
      </c>
      <c r="M6" s="1855"/>
      <c r="N6" s="1850"/>
      <c r="O6" s="1856" t="s">
        <v>142</v>
      </c>
      <c r="P6" s="1856" t="s">
        <v>231</v>
      </c>
      <c r="Q6" s="1856"/>
      <c r="R6" s="1849" t="s">
        <v>587</v>
      </c>
      <c r="S6" s="1855"/>
      <c r="T6" s="1850"/>
      <c r="U6" s="1849" t="s">
        <v>588</v>
      </c>
      <c r="V6" s="1855"/>
      <c r="W6" s="1850"/>
      <c r="X6" s="1849" t="s">
        <v>589</v>
      </c>
      <c r="Y6" s="1855"/>
      <c r="Z6" s="1855"/>
      <c r="AA6" s="1856"/>
      <c r="AB6" s="1857" t="s">
        <v>142</v>
      </c>
      <c r="AC6" s="1857" t="s">
        <v>231</v>
      </c>
      <c r="AD6" s="1857"/>
    </row>
    <row r="7" spans="1:30" s="892" customFormat="1" ht="15" customHeight="1">
      <c r="A7" s="1871"/>
      <c r="B7" s="1857"/>
      <c r="C7" s="1856"/>
      <c r="D7" s="1856" t="s">
        <v>410</v>
      </c>
      <c r="E7" s="1856" t="s">
        <v>411</v>
      </c>
      <c r="F7" s="1856" t="s">
        <v>142</v>
      </c>
      <c r="G7" s="1849" t="s">
        <v>231</v>
      </c>
      <c r="H7" s="1850"/>
      <c r="I7" s="1856" t="s">
        <v>142</v>
      </c>
      <c r="J7" s="1849" t="s">
        <v>231</v>
      </c>
      <c r="K7" s="1850"/>
      <c r="L7" s="1856" t="s">
        <v>142</v>
      </c>
      <c r="M7" s="1849" t="s">
        <v>231</v>
      </c>
      <c r="N7" s="1850"/>
      <c r="O7" s="1856"/>
      <c r="P7" s="1862" t="s">
        <v>410</v>
      </c>
      <c r="Q7" s="1856" t="s">
        <v>411</v>
      </c>
      <c r="R7" s="1856" t="s">
        <v>142</v>
      </c>
      <c r="S7" s="1849" t="s">
        <v>231</v>
      </c>
      <c r="T7" s="1850"/>
      <c r="U7" s="1856" t="s">
        <v>142</v>
      </c>
      <c r="V7" s="1849" t="s">
        <v>231</v>
      </c>
      <c r="W7" s="1850"/>
      <c r="X7" s="1856" t="s">
        <v>142</v>
      </c>
      <c r="Y7" s="1849" t="s">
        <v>231</v>
      </c>
      <c r="Z7" s="1855"/>
      <c r="AA7" s="1856"/>
      <c r="AB7" s="1857"/>
      <c r="AC7" s="1857" t="s">
        <v>75</v>
      </c>
      <c r="AD7" s="1866" t="s">
        <v>446</v>
      </c>
    </row>
    <row r="8" spans="1:30" s="892" customFormat="1" ht="10.15" customHeight="1">
      <c r="A8" s="1871"/>
      <c r="B8" s="1857"/>
      <c r="C8" s="1856"/>
      <c r="D8" s="1856"/>
      <c r="E8" s="1856"/>
      <c r="F8" s="1856"/>
      <c r="G8" s="1853" t="s">
        <v>410</v>
      </c>
      <c r="H8" s="1853" t="s">
        <v>411</v>
      </c>
      <c r="I8" s="1856"/>
      <c r="J8" s="1851" t="s">
        <v>410</v>
      </c>
      <c r="K8" s="1853" t="s">
        <v>411</v>
      </c>
      <c r="L8" s="1856"/>
      <c r="M8" s="1851" t="s">
        <v>518</v>
      </c>
      <c r="N8" s="1853" t="s">
        <v>411</v>
      </c>
      <c r="O8" s="1856"/>
      <c r="P8" s="1862"/>
      <c r="Q8" s="1856"/>
      <c r="R8" s="1856"/>
      <c r="S8" s="1853" t="s">
        <v>410</v>
      </c>
      <c r="T8" s="1853" t="s">
        <v>411</v>
      </c>
      <c r="U8" s="1856"/>
      <c r="V8" s="1851" t="s">
        <v>410</v>
      </c>
      <c r="W8" s="1853" t="s">
        <v>411</v>
      </c>
      <c r="X8" s="1856"/>
      <c r="Y8" s="1851" t="s">
        <v>518</v>
      </c>
      <c r="Z8" s="1867" t="s">
        <v>411</v>
      </c>
      <c r="AA8" s="1856"/>
      <c r="AB8" s="1857"/>
      <c r="AC8" s="1857"/>
      <c r="AD8" s="1866"/>
    </row>
    <row r="9" spans="1:30" s="892" customFormat="1" ht="24.75" customHeight="1">
      <c r="A9" s="1871"/>
      <c r="B9" s="1857"/>
      <c r="C9" s="1856"/>
      <c r="D9" s="1856"/>
      <c r="E9" s="1856"/>
      <c r="F9" s="1856"/>
      <c r="G9" s="1854"/>
      <c r="H9" s="1854"/>
      <c r="I9" s="1856"/>
      <c r="J9" s="1852"/>
      <c r="K9" s="1854"/>
      <c r="L9" s="1856"/>
      <c r="M9" s="1852"/>
      <c r="N9" s="1854"/>
      <c r="O9" s="1856"/>
      <c r="P9" s="1862"/>
      <c r="Q9" s="1856"/>
      <c r="R9" s="1856"/>
      <c r="S9" s="1854"/>
      <c r="T9" s="1854"/>
      <c r="U9" s="1856"/>
      <c r="V9" s="1852"/>
      <c r="W9" s="1854"/>
      <c r="X9" s="1856"/>
      <c r="Y9" s="1852"/>
      <c r="Z9" s="1868"/>
      <c r="AA9" s="1856"/>
      <c r="AB9" s="1857"/>
      <c r="AC9" s="1857"/>
      <c r="AD9" s="1866"/>
    </row>
    <row r="10" spans="1:30" s="940" customFormat="1" ht="12.75" customHeight="1">
      <c r="A10" s="936" t="s">
        <v>294</v>
      </c>
      <c r="B10" s="937" t="s">
        <v>295</v>
      </c>
      <c r="C10" s="938">
        <v>1</v>
      </c>
      <c r="D10" s="938">
        <v>2</v>
      </c>
      <c r="E10" s="938">
        <v>3</v>
      </c>
      <c r="F10" s="938">
        <v>4</v>
      </c>
      <c r="G10" s="938">
        <v>5</v>
      </c>
      <c r="H10" s="938">
        <v>6</v>
      </c>
      <c r="I10" s="938">
        <v>10</v>
      </c>
      <c r="J10" s="938">
        <v>11</v>
      </c>
      <c r="K10" s="938">
        <v>12</v>
      </c>
      <c r="L10" s="938">
        <v>13</v>
      </c>
      <c r="M10" s="938">
        <v>14</v>
      </c>
      <c r="N10" s="938">
        <v>15</v>
      </c>
      <c r="O10" s="938">
        <v>16</v>
      </c>
      <c r="P10" s="938">
        <v>17</v>
      </c>
      <c r="Q10" s="938">
        <v>18</v>
      </c>
      <c r="R10" s="938">
        <v>19</v>
      </c>
      <c r="S10" s="938">
        <v>20</v>
      </c>
      <c r="T10" s="938">
        <v>21</v>
      </c>
      <c r="U10" s="938">
        <v>25</v>
      </c>
      <c r="V10" s="938">
        <v>26</v>
      </c>
      <c r="W10" s="938">
        <v>27</v>
      </c>
      <c r="X10" s="938">
        <v>28</v>
      </c>
      <c r="Y10" s="938">
        <v>29</v>
      </c>
      <c r="Z10" s="938">
        <v>30</v>
      </c>
      <c r="AA10" s="939"/>
      <c r="AB10" s="938">
        <v>31</v>
      </c>
      <c r="AC10" s="938">
        <v>32</v>
      </c>
      <c r="AD10" s="938">
        <v>33</v>
      </c>
    </row>
    <row r="11" spans="1:30" s="980" customFormat="1" ht="26.25" customHeight="1">
      <c r="A11" s="1197"/>
      <c r="B11" s="1198" t="s">
        <v>447</v>
      </c>
      <c r="C11" s="1199">
        <f>+SUM(C12:C16)</f>
        <v>20101.841420000004</v>
      </c>
      <c r="D11" s="1199">
        <f>+SUM(D12:D16)</f>
        <v>9689.9021040000007</v>
      </c>
      <c r="E11" s="1199">
        <f>+SUM(E12:E16)</f>
        <v>10411.939316</v>
      </c>
      <c r="F11" s="1199">
        <f t="shared" ref="F11:AA11" si="0">+SUM(F12:F16)</f>
        <v>2442.2112470000002</v>
      </c>
      <c r="G11" s="1199">
        <f t="shared" si="0"/>
        <v>0</v>
      </c>
      <c r="H11" s="1199">
        <f t="shared" si="0"/>
        <v>2442.2112470000002</v>
      </c>
      <c r="I11" s="1199">
        <f t="shared" si="0"/>
        <v>2697.2959999999998</v>
      </c>
      <c r="J11" s="1199">
        <f t="shared" si="0"/>
        <v>2211.2959999999998</v>
      </c>
      <c r="K11" s="1199">
        <f t="shared" si="0"/>
        <v>486</v>
      </c>
      <c r="L11" s="1199">
        <f t="shared" si="0"/>
        <v>14962.334172999999</v>
      </c>
      <c r="M11" s="1199">
        <f t="shared" si="0"/>
        <v>7478.6061040000004</v>
      </c>
      <c r="N11" s="1199">
        <f t="shared" si="0"/>
        <v>7483.7280689999998</v>
      </c>
      <c r="O11" s="1199">
        <f>+SUM(O12:O16)</f>
        <v>19260.136055000003</v>
      </c>
      <c r="P11" s="1199">
        <f t="shared" si="0"/>
        <v>9270.3579040000004</v>
      </c>
      <c r="Q11" s="1199">
        <f t="shared" si="0"/>
        <v>9989.7781509999986</v>
      </c>
      <c r="R11" s="1199">
        <f t="shared" si="0"/>
        <v>2366.0945080000001</v>
      </c>
      <c r="S11" s="1199">
        <f t="shared" si="0"/>
        <v>0</v>
      </c>
      <c r="T11" s="1199">
        <f t="shared" si="0"/>
        <v>2366.0945080000001</v>
      </c>
      <c r="U11" s="1199">
        <f t="shared" si="0"/>
        <v>2599.34</v>
      </c>
      <c r="V11" s="1199">
        <f t="shared" si="0"/>
        <v>2113.34</v>
      </c>
      <c r="W11" s="1199">
        <f t="shared" si="0"/>
        <v>486</v>
      </c>
      <c r="X11" s="1199">
        <f t="shared" si="0"/>
        <v>14294.701546999999</v>
      </c>
      <c r="Y11" s="1199">
        <f t="shared" si="0"/>
        <v>7157.0179040000003</v>
      </c>
      <c r="Z11" s="1199">
        <f t="shared" si="0"/>
        <v>7137.6836430000003</v>
      </c>
      <c r="AA11" s="1199">
        <f t="shared" si="0"/>
        <v>0</v>
      </c>
      <c r="AB11" s="1200">
        <f t="shared" ref="AB11" si="1">O11/C11*100</f>
        <v>95.812794721569333</v>
      </c>
      <c r="AC11" s="1200">
        <f>P11/D11*100</f>
        <v>95.67029475120485</v>
      </c>
      <c r="AD11" s="1200">
        <f t="shared" ref="AD11" si="2">Q11/E11*100</f>
        <v>95.945412740244578</v>
      </c>
    </row>
    <row r="12" spans="1:30" s="1205" customFormat="1" ht="27.75" customHeight="1">
      <c r="A12" s="1201">
        <v>1</v>
      </c>
      <c r="B12" s="1202" t="s">
        <v>1101</v>
      </c>
      <c r="C12" s="838">
        <f t="shared" ref="C12:C15" si="3">+F12+I12+L12</f>
        <v>60</v>
      </c>
      <c r="D12" s="838">
        <f t="shared" ref="D12:D15" si="4">+G12++J12+M12</f>
        <v>0</v>
      </c>
      <c r="E12" s="838">
        <f>+H12++K12+N12</f>
        <v>60</v>
      </c>
      <c r="F12" s="838">
        <f t="shared" ref="F12:F13" si="5">+G12+H12</f>
        <v>0</v>
      </c>
      <c r="G12" s="1203"/>
      <c r="H12" s="1203"/>
      <c r="I12" s="838">
        <f t="shared" ref="I12:I13" si="6">J12+K12</f>
        <v>0</v>
      </c>
      <c r="J12" s="1203"/>
      <c r="K12" s="1203"/>
      <c r="L12" s="838">
        <f t="shared" ref="L12:L13" si="7">M12+N12</f>
        <v>60</v>
      </c>
      <c r="M12" s="1203"/>
      <c r="N12" s="1203">
        <v>60</v>
      </c>
      <c r="O12" s="838">
        <f t="shared" ref="O12:O13" si="8">+P12+Q12</f>
        <v>60</v>
      </c>
      <c r="P12" s="838">
        <f t="shared" ref="P12:P15" si="9">+S12++V12+Y12</f>
        <v>0</v>
      </c>
      <c r="Q12" s="838">
        <f t="shared" ref="Q12:Q14" si="10">+T12++W12+Z12</f>
        <v>60</v>
      </c>
      <c r="R12" s="838">
        <f t="shared" ref="R12:R13" si="11">+S12+T12</f>
        <v>0</v>
      </c>
      <c r="S12" s="1203"/>
      <c r="T12" s="1203"/>
      <c r="U12" s="838">
        <f t="shared" ref="U12:U13" si="12">+V12+W12</f>
        <v>0</v>
      </c>
      <c r="V12" s="1203"/>
      <c r="W12" s="1203"/>
      <c r="X12" s="838">
        <f t="shared" ref="X12:X13" si="13">+Y12+Z12</f>
        <v>60</v>
      </c>
      <c r="Y12" s="1203"/>
      <c r="Z12" s="1203">
        <v>60</v>
      </c>
      <c r="AA12" s="1203"/>
      <c r="AB12" s="1204">
        <f t="shared" ref="AB12:AD15" si="14">O12/C12*100</f>
        <v>100</v>
      </c>
      <c r="AC12" s="1204"/>
      <c r="AD12" s="1204">
        <f t="shared" si="14"/>
        <v>100</v>
      </c>
    </row>
    <row r="13" spans="1:30" s="1205" customFormat="1" ht="29.25" customHeight="1">
      <c r="A13" s="1201">
        <v>2</v>
      </c>
      <c r="B13" s="1202" t="s">
        <v>1102</v>
      </c>
      <c r="C13" s="838">
        <f t="shared" si="3"/>
        <v>16895.552040000002</v>
      </c>
      <c r="D13" s="838">
        <f t="shared" si="4"/>
        <v>8501.5621040000005</v>
      </c>
      <c r="E13" s="838">
        <f t="shared" ref="E13:E14" si="15">+H13++K13+N13</f>
        <v>8393.9899359999999</v>
      </c>
      <c r="F13" s="838">
        <f t="shared" si="5"/>
        <v>2174.493907</v>
      </c>
      <c r="G13" s="1203"/>
      <c r="H13" s="1203">
        <f>1530+644.493907</f>
        <v>2174.493907</v>
      </c>
      <c r="I13" s="838">
        <f t="shared" si="6"/>
        <v>2682.2959999999998</v>
      </c>
      <c r="J13" s="1203">
        <f>999+508+466.1+238.196</f>
        <v>2211.2959999999998</v>
      </c>
      <c r="K13" s="1203">
        <f>171+300</f>
        <v>471</v>
      </c>
      <c r="L13" s="1208">
        <f t="shared" si="7"/>
        <v>12038.762133</v>
      </c>
      <c r="M13" s="1208">
        <f>4690.66+1599.606104</f>
        <v>6290.2661040000003</v>
      </c>
      <c r="N13" s="1208">
        <f>2995+2753.496029</f>
        <v>5748.4960289999999</v>
      </c>
      <c r="O13" s="838">
        <f t="shared" si="8"/>
        <v>16289.263337</v>
      </c>
      <c r="P13" s="838">
        <f t="shared" si="9"/>
        <v>8214.3579040000004</v>
      </c>
      <c r="Q13" s="838">
        <f>+T13++W13+Z13</f>
        <v>8074.9054329999999</v>
      </c>
      <c r="R13" s="838">
        <f t="shared" si="11"/>
        <v>2124.668588</v>
      </c>
      <c r="S13" s="1203"/>
      <c r="T13" s="1203">
        <v>2124.668588</v>
      </c>
      <c r="U13" s="838">
        <f t="shared" si="12"/>
        <v>2584.34</v>
      </c>
      <c r="V13" s="1203">
        <v>2113.34</v>
      </c>
      <c r="W13" s="1203">
        <v>471</v>
      </c>
      <c r="X13" s="838">
        <f t="shared" si="13"/>
        <v>11580.254749</v>
      </c>
      <c r="Y13" s="1203">
        <v>6101.0179040000003</v>
      </c>
      <c r="Z13" s="1203">
        <v>5479.2368450000004</v>
      </c>
      <c r="AA13" s="1203"/>
      <c r="AB13" s="1204">
        <f t="shared" si="14"/>
        <v>96.411548426682828</v>
      </c>
      <c r="AC13" s="1204">
        <f t="shared" si="14"/>
        <v>96.621747903660321</v>
      </c>
      <c r="AD13" s="1204">
        <f t="shared" si="14"/>
        <v>96.198655163600861</v>
      </c>
    </row>
    <row r="14" spans="1:30" s="1205" customFormat="1" ht="27" customHeight="1">
      <c r="A14" s="1201">
        <v>3</v>
      </c>
      <c r="B14" s="1202" t="s">
        <v>1103</v>
      </c>
      <c r="C14" s="838">
        <f t="shared" si="3"/>
        <v>2747.2603400000003</v>
      </c>
      <c r="D14" s="838">
        <f t="shared" si="4"/>
        <v>1188</v>
      </c>
      <c r="E14" s="838">
        <f t="shared" si="15"/>
        <v>1559.26034</v>
      </c>
      <c r="F14" s="838">
        <f>+G14+H14</f>
        <v>267.71733999999998</v>
      </c>
      <c r="G14" s="1203"/>
      <c r="H14" s="1203">
        <f>210+57.71734</f>
        <v>267.71733999999998</v>
      </c>
      <c r="I14" s="838">
        <f>J14+K14</f>
        <v>0</v>
      </c>
      <c r="J14" s="1203"/>
      <c r="K14" s="1203"/>
      <c r="L14" s="1208">
        <f>M14+N14</f>
        <v>2479.5430000000001</v>
      </c>
      <c r="M14" s="1208">
        <f>176+1012</f>
        <v>1188</v>
      </c>
      <c r="N14" s="1208">
        <f>1235+232.543-176</f>
        <v>1291.5430000000001</v>
      </c>
      <c r="O14" s="838">
        <f>+P14+Q14</f>
        <v>2512.1836779999999</v>
      </c>
      <c r="P14" s="838">
        <f t="shared" si="9"/>
        <v>1056</v>
      </c>
      <c r="Q14" s="838">
        <f t="shared" si="10"/>
        <v>1456.1836779999999</v>
      </c>
      <c r="R14" s="838">
        <f>+S14+T14</f>
        <v>241.42591999999999</v>
      </c>
      <c r="S14" s="1203"/>
      <c r="T14" s="1203">
        <v>241.42591999999999</v>
      </c>
      <c r="U14" s="838">
        <f>+V14+W14</f>
        <v>0</v>
      </c>
      <c r="V14" s="1203"/>
      <c r="W14" s="1203"/>
      <c r="X14" s="838">
        <f>+Y14+Z14</f>
        <v>2270.7577579999997</v>
      </c>
      <c r="Y14" s="1203">
        <v>1056</v>
      </c>
      <c r="Z14" s="1203">
        <v>1214.757758</v>
      </c>
      <c r="AA14" s="1203"/>
      <c r="AB14" s="1204">
        <f t="shared" si="14"/>
        <v>91.443233152049928</v>
      </c>
      <c r="AC14" s="1204">
        <f>P14/D14*100</f>
        <v>88.888888888888886</v>
      </c>
      <c r="AD14" s="1204">
        <f>Q14/E14*100</f>
        <v>93.389387303982858</v>
      </c>
    </row>
    <row r="15" spans="1:30" s="1205" customFormat="1" ht="30" customHeight="1">
      <c r="A15" s="1201">
        <v>4</v>
      </c>
      <c r="B15" s="1202" t="s">
        <v>1104</v>
      </c>
      <c r="C15" s="838">
        <f t="shared" si="3"/>
        <v>398.68903999999998</v>
      </c>
      <c r="D15" s="838">
        <f t="shared" si="4"/>
        <v>0</v>
      </c>
      <c r="E15" s="838">
        <f>+H15+K15+N15</f>
        <v>398.68903999999998</v>
      </c>
      <c r="F15" s="838">
        <f>+G15+H15</f>
        <v>0</v>
      </c>
      <c r="G15" s="1203"/>
      <c r="H15" s="1203"/>
      <c r="I15" s="838">
        <f>J15+K15</f>
        <v>15</v>
      </c>
      <c r="J15" s="1203"/>
      <c r="K15" s="1203">
        <v>15</v>
      </c>
      <c r="L15" s="1208">
        <f>M15+N15</f>
        <v>383.68903999999998</v>
      </c>
      <c r="M15" s="1208"/>
      <c r="N15" s="1208">
        <f>225+158.68904</f>
        <v>383.68903999999998</v>
      </c>
      <c r="O15" s="838">
        <f>+P15+Q15</f>
        <v>398.68903999999998</v>
      </c>
      <c r="P15" s="838">
        <f t="shared" si="9"/>
        <v>0</v>
      </c>
      <c r="Q15" s="838">
        <v>398.68903999999998</v>
      </c>
      <c r="R15" s="838">
        <f>+S15+T15</f>
        <v>0</v>
      </c>
      <c r="S15" s="1203"/>
      <c r="T15" s="1203"/>
      <c r="U15" s="838">
        <f>+V15+W15</f>
        <v>15</v>
      </c>
      <c r="V15" s="1203"/>
      <c r="W15" s="1203">
        <v>15</v>
      </c>
      <c r="X15" s="838">
        <f>+Y15+Z15</f>
        <v>383.68903999999998</v>
      </c>
      <c r="Y15" s="1203"/>
      <c r="Z15" s="1203">
        <v>383.68903999999998</v>
      </c>
      <c r="AA15" s="1203"/>
      <c r="AB15" s="1204">
        <f t="shared" si="14"/>
        <v>100</v>
      </c>
      <c r="AC15" s="1204"/>
      <c r="AD15" s="1204">
        <f t="shared" si="14"/>
        <v>100</v>
      </c>
    </row>
    <row r="16" spans="1:30" s="1205" customFormat="1" ht="23.25" customHeight="1">
      <c r="A16" s="1201">
        <v>5</v>
      </c>
      <c r="B16" s="1210" t="s">
        <v>1105</v>
      </c>
      <c r="C16" s="1206">
        <f t="shared" ref="C16" si="16">+F16+I16+L16</f>
        <v>0.34</v>
      </c>
      <c r="D16" s="1206">
        <f t="shared" ref="D16" si="17">+G16++J16+M16</f>
        <v>0.34</v>
      </c>
      <c r="E16" s="1206">
        <f t="shared" ref="E16" si="18">+H16++K16+N16</f>
        <v>0</v>
      </c>
      <c r="F16" s="1206">
        <f t="shared" ref="F16" si="19">+G16+H16</f>
        <v>0</v>
      </c>
      <c r="G16" s="1207"/>
      <c r="H16" s="1207"/>
      <c r="I16" s="1206">
        <f t="shared" ref="I16" si="20">J16+K16</f>
        <v>0</v>
      </c>
      <c r="J16" s="1207"/>
      <c r="K16" s="1207"/>
      <c r="L16" s="1209">
        <f t="shared" ref="L16" si="21">M16+N16</f>
        <v>0.34</v>
      </c>
      <c r="M16" s="1209">
        <v>0.34</v>
      </c>
      <c r="N16" s="1209"/>
      <c r="O16" s="1206">
        <f t="shared" ref="O16" si="22">+P16+Q16</f>
        <v>0</v>
      </c>
      <c r="P16" s="1206">
        <f t="shared" ref="P16" si="23">+S16++V16+Y16</f>
        <v>0</v>
      </c>
      <c r="Q16" s="1206">
        <f t="shared" ref="Q16" si="24">+T16++W16+Z16</f>
        <v>0</v>
      </c>
      <c r="R16" s="1206">
        <f t="shared" ref="R16" si="25">+S16+T16</f>
        <v>0</v>
      </c>
      <c r="S16" s="1207"/>
      <c r="T16" s="1207"/>
      <c r="U16" s="1206">
        <f t="shared" ref="U16" si="26">+V16+W16</f>
        <v>0</v>
      </c>
      <c r="V16" s="1207"/>
      <c r="W16" s="1207"/>
      <c r="X16" s="1206">
        <f t="shared" ref="X16" si="27">+Y16+Z16</f>
        <v>0</v>
      </c>
      <c r="Y16" s="1207"/>
      <c r="Z16" s="1207"/>
      <c r="AA16" s="1207"/>
      <c r="AB16" s="1211">
        <f t="shared" ref="AB16" si="28">O16/C16*100</f>
        <v>0</v>
      </c>
      <c r="AC16" s="1211"/>
      <c r="AD16" s="1211"/>
    </row>
    <row r="17" spans="1:30" ht="15.75">
      <c r="A17" s="1865"/>
      <c r="B17" s="1865"/>
      <c r="C17" s="1865"/>
      <c r="D17" s="1865"/>
      <c r="E17" s="1865"/>
      <c r="F17" s="1865"/>
      <c r="G17" s="1865"/>
      <c r="H17" s="1865"/>
      <c r="I17" s="1865"/>
      <c r="J17" s="1865"/>
      <c r="K17" s="1865"/>
      <c r="L17" s="1865"/>
      <c r="M17" s="1865"/>
      <c r="N17" s="1865"/>
      <c r="O17" s="1865"/>
      <c r="P17" s="1865"/>
      <c r="Q17" s="1865"/>
      <c r="R17" s="1865"/>
      <c r="S17" s="1865"/>
      <c r="T17" s="1865"/>
      <c r="U17" s="1865"/>
      <c r="V17" s="1865"/>
      <c r="W17" s="1865"/>
      <c r="X17" s="1865"/>
      <c r="Y17" s="1865"/>
      <c r="Z17" s="1865"/>
      <c r="AA17" s="1865"/>
      <c r="AB17" s="1865"/>
      <c r="AC17" s="1865"/>
      <c r="AD17" s="1865"/>
    </row>
    <row r="18" spans="1:30" ht="15.75" hidden="1" customHeight="1">
      <c r="A18" s="941"/>
      <c r="N18" s="942"/>
      <c r="O18" s="942"/>
      <c r="P18" s="942"/>
      <c r="Q18" s="942"/>
      <c r="R18" s="942"/>
      <c r="S18" s="942"/>
      <c r="T18" s="942"/>
      <c r="U18" s="942"/>
      <c r="V18" s="1869" t="s">
        <v>1100</v>
      </c>
      <c r="W18" s="1869"/>
      <c r="X18" s="1869"/>
      <c r="Y18" s="1869"/>
      <c r="Z18" s="1869"/>
      <c r="AA18" s="1869"/>
      <c r="AB18" s="1869"/>
      <c r="AC18" s="1869"/>
      <c r="AD18" s="1869"/>
    </row>
    <row r="19" spans="1:30" s="207" customFormat="1" ht="18.75" hidden="1" customHeight="1">
      <c r="A19" s="943"/>
      <c r="C19" s="944"/>
      <c r="D19" s="944"/>
      <c r="E19" s="944"/>
      <c r="F19" s="944"/>
      <c r="G19" s="944"/>
      <c r="H19" s="944"/>
      <c r="I19" s="944"/>
      <c r="J19" s="221"/>
      <c r="K19" s="944"/>
      <c r="L19" s="944"/>
      <c r="M19" s="221"/>
      <c r="N19" s="945"/>
      <c r="O19" s="945"/>
      <c r="P19" s="945"/>
      <c r="Q19" s="945"/>
      <c r="R19" s="945"/>
      <c r="S19" s="945"/>
      <c r="T19" s="945"/>
      <c r="U19" s="945"/>
      <c r="V19" s="1864" t="s">
        <v>214</v>
      </c>
      <c r="W19" s="1864"/>
      <c r="X19" s="1864"/>
      <c r="Y19" s="1864"/>
      <c r="Z19" s="1864"/>
      <c r="AA19" s="1864"/>
      <c r="AB19" s="1864"/>
      <c r="AC19" s="1864"/>
      <c r="AD19" s="1864"/>
    </row>
    <row r="20" spans="1:30" s="207" customFormat="1" ht="18.75" hidden="1" customHeight="1">
      <c r="A20" s="943"/>
      <c r="C20" s="944"/>
      <c r="D20" s="944"/>
      <c r="E20" s="944"/>
      <c r="F20" s="944"/>
      <c r="G20" s="944"/>
      <c r="H20" s="944"/>
      <c r="I20" s="944"/>
      <c r="J20" s="221"/>
      <c r="K20" s="944"/>
      <c r="L20" s="944"/>
      <c r="M20" s="221"/>
      <c r="N20" s="945"/>
      <c r="O20" s="945"/>
      <c r="P20" s="945"/>
      <c r="Q20" s="945"/>
      <c r="R20" s="945"/>
      <c r="S20" s="945"/>
      <c r="T20" s="945"/>
      <c r="U20" s="945"/>
      <c r="V20" s="1864" t="s">
        <v>215</v>
      </c>
      <c r="W20" s="1864"/>
      <c r="X20" s="1864"/>
      <c r="Y20" s="1864"/>
      <c r="Z20" s="1864"/>
      <c r="AA20" s="1864"/>
      <c r="AB20" s="1864"/>
      <c r="AC20" s="1864"/>
      <c r="AD20" s="1864"/>
    </row>
    <row r="21" spans="1:30" ht="19.5" hidden="1" customHeight="1">
      <c r="N21" s="394"/>
      <c r="O21" s="394"/>
      <c r="P21" s="394"/>
      <c r="Q21" s="394"/>
      <c r="R21" s="394"/>
      <c r="S21" s="394"/>
      <c r="T21" s="394"/>
      <c r="U21" s="394"/>
      <c r="V21" s="1870" t="s">
        <v>141</v>
      </c>
      <c r="W21" s="1870"/>
      <c r="X21" s="1870"/>
      <c r="Y21" s="1870"/>
      <c r="Z21" s="1870"/>
      <c r="AA21" s="1870"/>
      <c r="AB21" s="1870"/>
      <c r="AC21" s="1870"/>
      <c r="AD21" s="1870"/>
    </row>
    <row r="22" spans="1:30" hidden="1">
      <c r="Z22" s="393"/>
      <c r="AA22" s="393"/>
    </row>
    <row r="23" spans="1:30" hidden="1">
      <c r="A23" s="28"/>
      <c r="B23" s="28"/>
      <c r="C23" s="28"/>
      <c r="D23" s="28"/>
      <c r="E23" s="28"/>
      <c r="F23" s="28"/>
      <c r="G23" s="28"/>
      <c r="H23" s="28"/>
      <c r="I23" s="28"/>
      <c r="J23" s="28"/>
      <c r="K23" s="28"/>
      <c r="L23" s="28"/>
      <c r="M23" s="28"/>
      <c r="N23" s="28"/>
      <c r="O23" s="28"/>
      <c r="P23" s="28"/>
      <c r="Q23" s="28"/>
      <c r="R23" s="28"/>
      <c r="S23" s="28"/>
      <c r="T23" s="28"/>
      <c r="U23" s="28"/>
      <c r="V23" s="28"/>
      <c r="Z23" s="393"/>
      <c r="AA23" s="393"/>
    </row>
    <row r="24" spans="1:30" hidden="1">
      <c r="A24" s="28"/>
      <c r="B24" s="28"/>
      <c r="C24" s="28"/>
      <c r="D24" s="28"/>
      <c r="E24" s="28"/>
      <c r="F24" s="28"/>
      <c r="G24" s="28"/>
      <c r="H24" s="28"/>
      <c r="I24" s="28"/>
      <c r="J24" s="28"/>
      <c r="K24" s="28"/>
      <c r="L24" s="28"/>
      <c r="M24" s="28"/>
      <c r="N24" s="28"/>
      <c r="O24" s="28"/>
      <c r="P24" s="28"/>
      <c r="Q24" s="28"/>
      <c r="R24" s="28"/>
      <c r="S24" s="28"/>
      <c r="T24" s="28"/>
      <c r="U24" s="28"/>
      <c r="V24" s="28"/>
      <c r="Z24" s="393"/>
      <c r="AA24" s="393"/>
    </row>
    <row r="25" spans="1:30" hidden="1">
      <c r="A25" s="28"/>
      <c r="B25" s="28"/>
      <c r="C25" s="28"/>
      <c r="D25" s="28"/>
      <c r="E25" s="28"/>
      <c r="F25" s="28"/>
      <c r="G25" s="28"/>
      <c r="H25" s="28"/>
      <c r="I25" s="28"/>
      <c r="J25" s="28"/>
      <c r="K25" s="28"/>
      <c r="L25" s="28"/>
      <c r="M25" s="28"/>
      <c r="N25" s="28"/>
      <c r="O25" s="28"/>
      <c r="P25" s="28"/>
      <c r="Q25" s="28"/>
      <c r="R25" s="28"/>
      <c r="S25" s="28"/>
      <c r="T25" s="28"/>
      <c r="U25" s="28"/>
      <c r="V25" s="28"/>
      <c r="Z25" s="393"/>
      <c r="AA25" s="393"/>
    </row>
    <row r="26" spans="1:30" hidden="1">
      <c r="A26" s="28"/>
      <c r="B26" s="28"/>
      <c r="C26" s="28"/>
      <c r="D26" s="28"/>
      <c r="E26" s="28"/>
      <c r="F26" s="28"/>
      <c r="G26" s="28"/>
      <c r="H26" s="28"/>
      <c r="I26" s="28"/>
      <c r="J26" s="28"/>
      <c r="K26" s="28"/>
      <c r="L26" s="28"/>
      <c r="M26" s="28"/>
      <c r="N26" s="28"/>
      <c r="O26" s="28"/>
      <c r="P26" s="28"/>
      <c r="Q26" s="28"/>
      <c r="R26" s="28"/>
      <c r="S26" s="28"/>
      <c r="T26" s="28"/>
      <c r="U26" s="28"/>
      <c r="V26" s="28"/>
      <c r="Z26" s="393"/>
      <c r="AA26" s="393"/>
    </row>
    <row r="27" spans="1:30" hidden="1">
      <c r="A27" s="28"/>
      <c r="B27" s="28"/>
      <c r="C27" s="28"/>
      <c r="D27" s="28"/>
      <c r="E27" s="28"/>
      <c r="F27" s="28"/>
      <c r="G27" s="28"/>
      <c r="H27" s="28"/>
      <c r="I27" s="28"/>
      <c r="J27" s="28"/>
      <c r="K27" s="28"/>
      <c r="L27" s="28"/>
      <c r="M27" s="28"/>
      <c r="N27" s="28"/>
      <c r="O27" s="28"/>
      <c r="P27" s="28"/>
      <c r="Q27" s="28"/>
      <c r="R27" s="28"/>
      <c r="S27" s="28"/>
      <c r="T27" s="28"/>
      <c r="U27" s="28"/>
      <c r="V27" s="28"/>
      <c r="Z27" s="393"/>
      <c r="AA27" s="393"/>
    </row>
    <row r="28" spans="1:30" hidden="1"/>
    <row r="29" spans="1:30" hidden="1">
      <c r="A29" s="28"/>
      <c r="B29" s="28"/>
      <c r="C29" s="28"/>
      <c r="D29" s="28"/>
      <c r="E29" s="28"/>
      <c r="F29" s="28"/>
      <c r="G29" s="28"/>
      <c r="H29" s="28"/>
      <c r="I29" s="28"/>
      <c r="J29" s="28"/>
      <c r="K29" s="28"/>
      <c r="L29" s="28"/>
      <c r="M29" s="28"/>
      <c r="N29" s="28"/>
      <c r="O29" s="28"/>
      <c r="P29" s="28"/>
      <c r="Q29" s="28"/>
      <c r="R29" s="28"/>
      <c r="S29" s="28"/>
      <c r="T29" s="28"/>
      <c r="U29" s="28"/>
      <c r="V29" s="28"/>
      <c r="Z29" s="393"/>
      <c r="AA29" s="393"/>
    </row>
    <row r="30" spans="1:30" hidden="1">
      <c r="A30" s="28"/>
      <c r="B30" s="28"/>
      <c r="C30" s="28"/>
      <c r="D30" s="28"/>
      <c r="E30" s="28"/>
      <c r="F30" s="28"/>
      <c r="G30" s="28"/>
      <c r="H30" s="28"/>
      <c r="I30" s="28"/>
      <c r="J30" s="28"/>
      <c r="K30" s="28"/>
      <c r="L30" s="28"/>
      <c r="M30" s="28"/>
      <c r="N30" s="28"/>
      <c r="O30" s="28"/>
      <c r="P30" s="28"/>
      <c r="Q30" s="28"/>
      <c r="R30" s="28"/>
      <c r="S30" s="28"/>
      <c r="T30" s="28"/>
      <c r="U30" s="28"/>
      <c r="V30" s="28"/>
      <c r="Z30" s="393"/>
      <c r="AA30" s="393"/>
    </row>
    <row r="31" spans="1:30" hidden="1">
      <c r="A31" s="28"/>
      <c r="B31" s="28"/>
      <c r="C31" s="28"/>
      <c r="D31" s="28"/>
      <c r="E31" s="28"/>
      <c r="F31" s="28"/>
      <c r="G31" s="28"/>
      <c r="H31" s="28"/>
      <c r="I31" s="28"/>
      <c r="J31" s="28"/>
      <c r="K31" s="28"/>
      <c r="L31" s="28"/>
      <c r="M31" s="28"/>
      <c r="N31" s="28"/>
      <c r="O31" s="28"/>
      <c r="P31" s="28"/>
      <c r="Q31" s="28"/>
      <c r="R31" s="28"/>
      <c r="S31" s="28"/>
      <c r="T31" s="28"/>
      <c r="U31" s="28"/>
      <c r="V31" s="28"/>
      <c r="Z31" s="393"/>
      <c r="AA31" s="393"/>
    </row>
    <row r="32" spans="1:30" ht="24" hidden="1" customHeight="1">
      <c r="A32" s="28"/>
      <c r="B32" s="28"/>
      <c r="C32" s="28"/>
      <c r="D32" s="28"/>
      <c r="E32" s="28"/>
      <c r="F32" s="28"/>
      <c r="G32" s="28"/>
      <c r="H32" s="28"/>
      <c r="I32" s="28"/>
      <c r="J32" s="28"/>
      <c r="K32" s="28"/>
      <c r="L32" s="28"/>
      <c r="M32" s="28"/>
      <c r="N32" s="28"/>
      <c r="O32" s="28"/>
      <c r="P32" s="28"/>
      <c r="Q32" s="28"/>
      <c r="R32" s="28"/>
      <c r="S32" s="28"/>
      <c r="T32" s="28"/>
      <c r="U32" s="28"/>
      <c r="V32" s="1864"/>
      <c r="W32" s="1864"/>
      <c r="X32" s="1864"/>
      <c r="Y32" s="1864"/>
      <c r="Z32" s="1864"/>
      <c r="AA32" s="1864"/>
      <c r="AB32" s="1864"/>
      <c r="AC32" s="1864"/>
      <c r="AD32" s="1864"/>
    </row>
    <row r="33" spans="3:14" hidden="1"/>
    <row r="34" spans="3:14" hidden="1"/>
    <row r="35" spans="3:14" hidden="1"/>
    <row r="36" spans="3:14" hidden="1"/>
    <row r="37" spans="3:14" hidden="1"/>
    <row r="38" spans="3:14" hidden="1"/>
    <row r="39" spans="3:14" hidden="1"/>
    <row r="40" spans="3:14" hidden="1"/>
    <row r="41" spans="3:14" hidden="1"/>
    <row r="42" spans="3:14">
      <c r="C42" s="1199"/>
      <c r="F42" s="838"/>
      <c r="N42" s="57">
        <f>+N14-1291.543</f>
        <v>0</v>
      </c>
    </row>
    <row r="43" spans="3:14">
      <c r="C43" s="1199"/>
    </row>
  </sheetData>
  <mergeCells count="64">
    <mergeCell ref="A3:AD3"/>
    <mergeCell ref="V18:AD18"/>
    <mergeCell ref="V19:AD19"/>
    <mergeCell ref="V20:AD20"/>
    <mergeCell ref="V21:AD21"/>
    <mergeCell ref="A5:A9"/>
    <mergeCell ref="V7:W7"/>
    <mergeCell ref="R6:T6"/>
    <mergeCell ref="L6:N6"/>
    <mergeCell ref="O6:O9"/>
    <mergeCell ref="P6:Q6"/>
    <mergeCell ref="AB4:AD4"/>
    <mergeCell ref="C5:N5"/>
    <mergeCell ref="O5:Z5"/>
    <mergeCell ref="AB5:AD5"/>
    <mergeCell ref="G4:H4"/>
    <mergeCell ref="V32:AD32"/>
    <mergeCell ref="A17:AD17"/>
    <mergeCell ref="X7:X9"/>
    <mergeCell ref="Y7:Z7"/>
    <mergeCell ref="AC7:AC9"/>
    <mergeCell ref="AD7:AD9"/>
    <mergeCell ref="M8:M9"/>
    <mergeCell ref="N8:N9"/>
    <mergeCell ref="V8:V9"/>
    <mergeCell ref="W8:W9"/>
    <mergeCell ref="Y8:Y9"/>
    <mergeCell ref="Z8:Z9"/>
    <mergeCell ref="T8:T9"/>
    <mergeCell ref="R7:R9"/>
    <mergeCell ref="S7:T7"/>
    <mergeCell ref="S8:S9"/>
    <mergeCell ref="L4:M4"/>
    <mergeCell ref="AA5:AA9"/>
    <mergeCell ref="U6:W6"/>
    <mergeCell ref="X6:Z6"/>
    <mergeCell ref="AB6:AB9"/>
    <mergeCell ref="AC6:AD6"/>
    <mergeCell ref="L7:L9"/>
    <mergeCell ref="M7:N7"/>
    <mergeCell ref="P7:P9"/>
    <mergeCell ref="Q7:Q9"/>
    <mergeCell ref="U7:U9"/>
    <mergeCell ref="V1:W1"/>
    <mergeCell ref="AB1:AD1"/>
    <mergeCell ref="A2:AD2"/>
    <mergeCell ref="A1:D1"/>
    <mergeCell ref="J1:K1"/>
    <mergeCell ref="M1:N1"/>
    <mergeCell ref="B5:B9"/>
    <mergeCell ref="C6:C9"/>
    <mergeCell ref="G7:H7"/>
    <mergeCell ref="F6:H6"/>
    <mergeCell ref="D6:E6"/>
    <mergeCell ref="D7:D9"/>
    <mergeCell ref="E7:E9"/>
    <mergeCell ref="F7:F9"/>
    <mergeCell ref="H8:H9"/>
    <mergeCell ref="G8:G9"/>
    <mergeCell ref="J7:K7"/>
    <mergeCell ref="J8:J9"/>
    <mergeCell ref="K8:K9"/>
    <mergeCell ref="I6:K6"/>
    <mergeCell ref="I7:I9"/>
  </mergeCells>
  <pageMargins left="0.23622047244094499" right="0.15748031496063" top="0.87" bottom="0.196850393700787" header="0.74803149606299202" footer="0.196850393700787"/>
  <pageSetup paperSize="8" scale="75" orientation="landscape"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AU426"/>
  <sheetViews>
    <sheetView view="pageBreakPreview" topLeftCell="B1" zoomScale="60" zoomScaleNormal="85" workbookViewId="0">
      <pane ySplit="8" topLeftCell="A52" activePane="bottomLeft" state="frozen"/>
      <selection activeCell="J1" sqref="J1"/>
      <selection pane="bottomLeft" activeCell="B36" sqref="B36:B53"/>
    </sheetView>
  </sheetViews>
  <sheetFormatPr defaultColWidth="9.140625" defaultRowHeight="12"/>
  <cols>
    <col min="1" max="1" width="5" style="1166" customWidth="1"/>
    <col min="2" max="2" width="22.28515625" style="1127" customWidth="1"/>
    <col min="3" max="3" width="10.28515625" style="1167" customWidth="1"/>
    <col min="4" max="4" width="10.28515625" style="1167" hidden="1" customWidth="1"/>
    <col min="5" max="5" width="7.42578125" style="1167" customWidth="1"/>
    <col min="6" max="6" width="13.28515625" style="1167" customWidth="1"/>
    <col min="7" max="7" width="10.140625" style="1127" customWidth="1"/>
    <col min="8" max="8" width="9.28515625" style="1127" customWidth="1"/>
    <col min="9" max="10" width="7.28515625" style="1127" customWidth="1"/>
    <col min="11" max="11" width="9.42578125" style="1127" customWidth="1"/>
    <col min="12" max="12" width="8.7109375" style="1127" customWidth="1"/>
    <col min="13" max="13" width="10.140625" style="1127" customWidth="1"/>
    <col min="14" max="14" width="8.28515625" style="1155" customWidth="1"/>
    <col min="15" max="15" width="7.85546875" style="1127" customWidth="1"/>
    <col min="16" max="16" width="8" style="1127" customWidth="1"/>
    <col min="17" max="17" width="7.28515625" style="1127" customWidth="1"/>
    <col min="18" max="18" width="9.140625" style="1127" customWidth="1"/>
    <col min="19" max="19" width="8.7109375" style="1127" customWidth="1"/>
    <col min="20" max="20" width="7.5703125" style="1127" customWidth="1"/>
    <col min="21" max="21" width="8.140625" style="1127" customWidth="1"/>
    <col min="22" max="22" width="7" style="1127" customWidth="1"/>
    <col min="23" max="23" width="8.28515625" style="1127" customWidth="1"/>
    <col min="24" max="24" width="9.85546875" style="1127" customWidth="1"/>
    <col min="25" max="25" width="7.85546875" style="1168" customWidth="1"/>
    <col min="26" max="26" width="7.5703125" style="1127" customWidth="1"/>
    <col min="27" max="27" width="7.7109375" style="1127" customWidth="1"/>
    <col min="28" max="28" width="8.28515625" style="1168" customWidth="1"/>
    <col min="29" max="29" width="8.7109375" style="1168" customWidth="1"/>
    <col min="30" max="30" width="8.42578125" style="1127" customWidth="1"/>
    <col min="31" max="31" width="8.28515625" style="1127" customWidth="1"/>
    <col min="32" max="32" width="10.28515625" style="1127" customWidth="1"/>
    <col min="33" max="34" width="7" style="1127" customWidth="1"/>
    <col min="35" max="35" width="7.85546875" style="1127" customWidth="1"/>
    <col min="36" max="36" width="7" style="1155" customWidth="1"/>
    <col min="37" max="37" width="8.85546875" style="1168" customWidth="1"/>
    <col min="38" max="38" width="8.42578125" style="1127" customWidth="1"/>
    <col min="39" max="39" width="9.28515625" style="1127" customWidth="1"/>
    <col min="40" max="40" width="7.7109375" style="1127" customWidth="1"/>
    <col min="41" max="41" width="8.140625" style="1127" customWidth="1"/>
    <col min="42" max="42" width="7.140625" style="1127" customWidth="1"/>
    <col min="43" max="44" width="7.5703125" style="1127" customWidth="1"/>
    <col min="45" max="45" width="7.28515625" style="1168" customWidth="1"/>
    <col min="46" max="46" width="6.7109375" style="1127" customWidth="1"/>
    <col min="47" max="47" width="7.5703125" style="1127" customWidth="1"/>
    <col min="48" max="16384" width="9.140625" style="1127"/>
  </cols>
  <sheetData>
    <row r="1" spans="1:47" ht="24" customHeight="1">
      <c r="A1" s="1876" t="s">
        <v>972</v>
      </c>
      <c r="B1" s="1876"/>
      <c r="C1" s="1876"/>
      <c r="D1" s="1876"/>
      <c r="E1" s="1876"/>
      <c r="F1" s="1876"/>
      <c r="G1" s="1159"/>
      <c r="H1" s="1159"/>
      <c r="I1" s="1159"/>
      <c r="J1" s="1159"/>
      <c r="K1" s="1159"/>
      <c r="L1" s="1159"/>
      <c r="M1" s="1159"/>
      <c r="N1" s="1159"/>
      <c r="O1" s="1159"/>
      <c r="P1" s="1159"/>
      <c r="Q1" s="1159"/>
      <c r="R1" s="1159"/>
      <c r="S1" s="1159"/>
      <c r="T1" s="1159"/>
      <c r="U1" s="1159"/>
      <c r="V1" s="1159"/>
      <c r="W1" s="1159"/>
      <c r="X1" s="1159"/>
      <c r="Y1" s="1159"/>
      <c r="Z1" s="1159"/>
      <c r="AA1" s="1159"/>
      <c r="AB1" s="1144"/>
      <c r="AC1" s="1144"/>
      <c r="AD1" s="1159"/>
      <c r="AE1" s="1159"/>
      <c r="AF1" s="1159"/>
      <c r="AG1" s="1159"/>
      <c r="AH1" s="1159"/>
      <c r="AI1" s="1159"/>
      <c r="AJ1" s="1144"/>
      <c r="AK1" s="1875"/>
      <c r="AL1" s="1875"/>
      <c r="AM1" s="1875"/>
      <c r="AN1" s="1159"/>
      <c r="AO1" s="1159"/>
      <c r="AP1" s="1159"/>
      <c r="AQ1" s="1159"/>
      <c r="AR1" s="1159"/>
      <c r="AS1" s="1875" t="s">
        <v>1437</v>
      </c>
      <c r="AT1" s="1875"/>
      <c r="AU1" s="1875"/>
    </row>
    <row r="2" spans="1:47" ht="23.25" customHeight="1">
      <c r="A2" s="1747" t="s">
        <v>1097</v>
      </c>
      <c r="B2" s="1747"/>
      <c r="C2" s="1747"/>
      <c r="D2" s="1747"/>
      <c r="E2" s="1747"/>
      <c r="F2" s="1747"/>
      <c r="G2" s="1747"/>
      <c r="H2" s="1747"/>
      <c r="I2" s="1747"/>
      <c r="J2" s="1747"/>
      <c r="K2" s="1747"/>
      <c r="L2" s="1747"/>
      <c r="M2" s="1747"/>
      <c r="N2" s="1747"/>
      <c r="O2" s="1747"/>
      <c r="P2" s="1747"/>
      <c r="Q2" s="1747"/>
      <c r="R2" s="1747"/>
      <c r="S2" s="1747"/>
      <c r="T2" s="1747"/>
      <c r="U2" s="1747"/>
      <c r="V2" s="1747"/>
      <c r="W2" s="1747"/>
      <c r="X2" s="1747"/>
      <c r="Y2" s="1747"/>
      <c r="Z2" s="1747"/>
      <c r="AA2" s="1747"/>
      <c r="AB2" s="1747"/>
      <c r="AC2" s="1747"/>
      <c r="AD2" s="1747"/>
      <c r="AE2" s="1747"/>
      <c r="AF2" s="1747"/>
      <c r="AG2" s="1747"/>
      <c r="AH2" s="1747"/>
      <c r="AI2" s="1747"/>
      <c r="AJ2" s="1747"/>
      <c r="AK2" s="1747"/>
      <c r="AL2" s="1747"/>
      <c r="AM2" s="1747"/>
      <c r="AN2" s="1747"/>
      <c r="AO2" s="1747"/>
      <c r="AP2" s="1747"/>
      <c r="AQ2" s="1747"/>
      <c r="AR2" s="1747"/>
      <c r="AS2" s="1747"/>
      <c r="AT2" s="1747"/>
      <c r="AU2" s="1747"/>
    </row>
    <row r="3" spans="1:47" s="33" customFormat="1" ht="27" customHeight="1">
      <c r="A3" s="1749" t="str">
        <f>+'49'!A3:E3</f>
        <v>(Kèm theo Báo cáo số 151/BC-UBND ngày 20/3/2026 của UBND xã Cường Lợi)</v>
      </c>
      <c r="B3" s="1749"/>
      <c r="C3" s="1749"/>
      <c r="D3" s="1749"/>
      <c r="E3" s="1749"/>
      <c r="F3" s="1749"/>
      <c r="G3" s="1749"/>
      <c r="H3" s="1749"/>
      <c r="I3" s="1749"/>
      <c r="J3" s="1749"/>
      <c r="K3" s="1749"/>
      <c r="L3" s="1749"/>
      <c r="M3" s="1749"/>
      <c r="N3" s="1749"/>
      <c r="O3" s="1749"/>
      <c r="P3" s="1749"/>
      <c r="Q3" s="1749"/>
      <c r="R3" s="1749"/>
      <c r="S3" s="1749"/>
      <c r="T3" s="1749"/>
      <c r="U3" s="1749"/>
      <c r="V3" s="1749"/>
      <c r="W3" s="1749"/>
      <c r="X3" s="1749"/>
      <c r="Y3" s="1749"/>
      <c r="Z3" s="1749"/>
      <c r="AA3" s="1749"/>
      <c r="AB3" s="1749"/>
      <c r="AC3" s="1749"/>
      <c r="AD3" s="1749"/>
      <c r="AE3" s="1749"/>
      <c r="AF3" s="1749"/>
      <c r="AG3" s="1749"/>
      <c r="AH3" s="1749"/>
      <c r="AI3" s="1749"/>
      <c r="AJ3" s="1749"/>
      <c r="AK3" s="1749"/>
      <c r="AL3" s="1749"/>
      <c r="AM3" s="1749"/>
      <c r="AN3" s="1749"/>
      <c r="AO3" s="1749"/>
      <c r="AP3" s="1749"/>
      <c r="AQ3" s="1749"/>
      <c r="AR3" s="1749"/>
      <c r="AS3" s="1749"/>
      <c r="AT3" s="1749"/>
      <c r="AU3" s="1749"/>
    </row>
    <row r="4" spans="1:47" ht="10.5" customHeight="1">
      <c r="A4" s="1129"/>
      <c r="B4" s="1130"/>
      <c r="C4" s="1129"/>
      <c r="G4" s="1167"/>
      <c r="H4" s="1167"/>
      <c r="I4" s="1131"/>
      <c r="K4" s="1183"/>
      <c r="L4" s="1184"/>
      <c r="N4" s="1133"/>
      <c r="O4" s="1132"/>
      <c r="Q4" s="1132"/>
      <c r="R4" s="1132"/>
      <c r="V4" s="1895"/>
      <c r="W4" s="1895"/>
      <c r="X4" s="1896"/>
      <c r="Y4" s="1896"/>
      <c r="Z4" s="1896"/>
      <c r="AA4" s="1896"/>
      <c r="AB4" s="1564"/>
      <c r="AC4" s="1563"/>
      <c r="AD4" s="1563"/>
      <c r="AE4" s="1182"/>
      <c r="AF4" s="1883"/>
      <c r="AG4" s="1883"/>
      <c r="AH4" s="1128"/>
      <c r="AI4" s="1895"/>
      <c r="AJ4" s="1895"/>
      <c r="AK4" s="1561"/>
      <c r="AL4" s="1562"/>
      <c r="AM4" s="1558"/>
      <c r="AN4" s="1883"/>
      <c r="AO4" s="1883"/>
      <c r="AP4" s="1128"/>
      <c r="AQ4" s="1128"/>
      <c r="AR4" s="1894" t="s">
        <v>205</v>
      </c>
      <c r="AS4" s="1894"/>
      <c r="AT4" s="1894"/>
      <c r="AU4" s="1894"/>
    </row>
    <row r="5" spans="1:47" ht="20.25" customHeight="1">
      <c r="A5" s="1878" t="s">
        <v>291</v>
      </c>
      <c r="B5" s="1878" t="s">
        <v>292</v>
      </c>
      <c r="C5" s="1878" t="s">
        <v>88</v>
      </c>
      <c r="D5" s="1891" t="s">
        <v>1226</v>
      </c>
      <c r="E5" s="1891" t="s">
        <v>1227</v>
      </c>
      <c r="F5" s="1878" t="s">
        <v>951</v>
      </c>
      <c r="G5" s="1878"/>
      <c r="H5" s="1878"/>
      <c r="I5" s="1878"/>
      <c r="J5" s="1878"/>
      <c r="K5" s="1878"/>
      <c r="L5" s="1878"/>
      <c r="M5" s="1878"/>
      <c r="N5" s="1884" t="s">
        <v>1048</v>
      </c>
      <c r="O5" s="1885"/>
      <c r="P5" s="1885"/>
      <c r="Q5" s="1885"/>
      <c r="R5" s="1885"/>
      <c r="S5" s="1884" t="s">
        <v>1047</v>
      </c>
      <c r="T5" s="1885"/>
      <c r="U5" s="1885"/>
      <c r="V5" s="1885"/>
      <c r="W5" s="1885"/>
      <c r="X5" s="1884" t="s">
        <v>1046</v>
      </c>
      <c r="Y5" s="1885"/>
      <c r="Z5" s="1885"/>
      <c r="AA5" s="1885"/>
      <c r="AB5" s="1885"/>
      <c r="AC5" s="1885"/>
      <c r="AD5" s="1885"/>
      <c r="AE5" s="1885"/>
      <c r="AF5" s="1878" t="s">
        <v>1044</v>
      </c>
      <c r="AG5" s="1878"/>
      <c r="AH5" s="1878"/>
      <c r="AI5" s="1878"/>
      <c r="AJ5" s="1878"/>
      <c r="AK5" s="1878"/>
      <c r="AL5" s="1878"/>
      <c r="AM5" s="1878"/>
      <c r="AN5" s="1878" t="s">
        <v>158</v>
      </c>
      <c r="AO5" s="1878"/>
      <c r="AP5" s="1878"/>
      <c r="AQ5" s="1878"/>
      <c r="AR5" s="1878"/>
      <c r="AS5" s="1878"/>
      <c r="AT5" s="1878"/>
      <c r="AU5" s="1878"/>
    </row>
    <row r="6" spans="1:47" ht="15" customHeight="1">
      <c r="A6" s="1878"/>
      <c r="B6" s="1878"/>
      <c r="C6" s="1878"/>
      <c r="D6" s="1892"/>
      <c r="E6" s="1892"/>
      <c r="F6" s="1878" t="s">
        <v>615</v>
      </c>
      <c r="G6" s="1878" t="s">
        <v>952</v>
      </c>
      <c r="H6" s="1879" t="s">
        <v>953</v>
      </c>
      <c r="I6" s="1880"/>
      <c r="J6" s="1880"/>
      <c r="K6" s="1880"/>
      <c r="L6" s="1880"/>
      <c r="M6" s="1881"/>
      <c r="N6" s="1886"/>
      <c r="O6" s="1887"/>
      <c r="P6" s="1887"/>
      <c r="Q6" s="1887"/>
      <c r="R6" s="1887"/>
      <c r="S6" s="1886"/>
      <c r="T6" s="1887"/>
      <c r="U6" s="1887"/>
      <c r="V6" s="1887"/>
      <c r="W6" s="1887"/>
      <c r="X6" s="1886"/>
      <c r="Y6" s="1887"/>
      <c r="Z6" s="1887"/>
      <c r="AA6" s="1887"/>
      <c r="AB6" s="1887"/>
      <c r="AC6" s="1887"/>
      <c r="AD6" s="1887"/>
      <c r="AE6" s="1887"/>
      <c r="AF6" s="1878"/>
      <c r="AG6" s="1878"/>
      <c r="AH6" s="1878"/>
      <c r="AI6" s="1878"/>
      <c r="AJ6" s="1878"/>
      <c r="AK6" s="1878"/>
      <c r="AL6" s="1878"/>
      <c r="AM6" s="1878"/>
      <c r="AN6" s="1878"/>
      <c r="AO6" s="1878"/>
      <c r="AP6" s="1878"/>
      <c r="AQ6" s="1878"/>
      <c r="AR6" s="1878"/>
      <c r="AS6" s="1878"/>
      <c r="AT6" s="1878"/>
      <c r="AU6" s="1878"/>
    </row>
    <row r="7" spans="1:47" ht="19.5" customHeight="1">
      <c r="A7" s="1878"/>
      <c r="B7" s="1878"/>
      <c r="C7" s="1878"/>
      <c r="D7" s="1892"/>
      <c r="E7" s="1892"/>
      <c r="F7" s="1878"/>
      <c r="G7" s="1878"/>
      <c r="H7" s="1879" t="s">
        <v>48</v>
      </c>
      <c r="I7" s="1880"/>
      <c r="J7" s="1880"/>
      <c r="K7" s="1880"/>
      <c r="L7" s="1880"/>
      <c r="M7" s="1881"/>
      <c r="N7" s="1882" t="s">
        <v>142</v>
      </c>
      <c r="O7" s="1879" t="s">
        <v>48</v>
      </c>
      <c r="P7" s="1880"/>
      <c r="Q7" s="1880"/>
      <c r="R7" s="1880"/>
      <c r="S7" s="1877" t="s">
        <v>142</v>
      </c>
      <c r="T7" s="1879" t="s">
        <v>48</v>
      </c>
      <c r="U7" s="1880"/>
      <c r="V7" s="1880"/>
      <c r="W7" s="1880"/>
      <c r="X7" s="1877" t="s">
        <v>142</v>
      </c>
      <c r="Y7" s="1879" t="s">
        <v>48</v>
      </c>
      <c r="Z7" s="1880"/>
      <c r="AA7" s="1880"/>
      <c r="AB7" s="1880"/>
      <c r="AC7" s="1880"/>
      <c r="AD7" s="1880"/>
      <c r="AE7" s="1880"/>
      <c r="AF7" s="1877" t="s">
        <v>142</v>
      </c>
      <c r="AG7" s="1877" t="s">
        <v>48</v>
      </c>
      <c r="AH7" s="1877"/>
      <c r="AI7" s="1877"/>
      <c r="AJ7" s="1877"/>
      <c r="AK7" s="1877"/>
      <c r="AL7" s="1877"/>
      <c r="AM7" s="1877"/>
      <c r="AN7" s="1877" t="s">
        <v>142</v>
      </c>
      <c r="AO7" s="1877" t="s">
        <v>48</v>
      </c>
      <c r="AP7" s="1877"/>
      <c r="AQ7" s="1877"/>
      <c r="AR7" s="1877"/>
      <c r="AS7" s="1877"/>
      <c r="AT7" s="1877"/>
      <c r="AU7" s="1877"/>
    </row>
    <row r="8" spans="1:47" ht="133.15" customHeight="1">
      <c r="A8" s="1878"/>
      <c r="B8" s="1878"/>
      <c r="C8" s="1878"/>
      <c r="D8" s="1893"/>
      <c r="E8" s="1893"/>
      <c r="F8" s="1878"/>
      <c r="G8" s="1878"/>
      <c r="H8" s="1136" t="s">
        <v>616</v>
      </c>
      <c r="I8" s="1136" t="s">
        <v>1042</v>
      </c>
      <c r="J8" s="1134" t="s">
        <v>617</v>
      </c>
      <c r="K8" s="1135" t="s">
        <v>954</v>
      </c>
      <c r="L8" s="1135" t="s">
        <v>670</v>
      </c>
      <c r="M8" s="1135" t="s">
        <v>1061</v>
      </c>
      <c r="N8" s="1882"/>
      <c r="O8" s="1135" t="s">
        <v>616</v>
      </c>
      <c r="P8" s="1136" t="s">
        <v>1042</v>
      </c>
      <c r="Q8" s="1134" t="s">
        <v>618</v>
      </c>
      <c r="R8" s="1135" t="s">
        <v>955</v>
      </c>
      <c r="S8" s="1877"/>
      <c r="T8" s="1135" t="s">
        <v>616</v>
      </c>
      <c r="U8" s="1136" t="s">
        <v>1042</v>
      </c>
      <c r="V8" s="1134" t="s">
        <v>618</v>
      </c>
      <c r="W8" s="1135" t="s">
        <v>956</v>
      </c>
      <c r="X8" s="1877"/>
      <c r="Y8" s="1134" t="s">
        <v>616</v>
      </c>
      <c r="Z8" s="1136" t="s">
        <v>1042</v>
      </c>
      <c r="AA8" s="1134" t="s">
        <v>1045</v>
      </c>
      <c r="AB8" s="1134" t="s">
        <v>618</v>
      </c>
      <c r="AC8" s="1134" t="s">
        <v>1043</v>
      </c>
      <c r="AD8" s="1135" t="s">
        <v>954</v>
      </c>
      <c r="AE8" s="1135" t="s">
        <v>670</v>
      </c>
      <c r="AF8" s="1877"/>
      <c r="AG8" s="1135" t="s">
        <v>616</v>
      </c>
      <c r="AH8" s="1136" t="s">
        <v>1042</v>
      </c>
      <c r="AI8" s="1134" t="s">
        <v>1041</v>
      </c>
      <c r="AJ8" s="1134" t="s">
        <v>618</v>
      </c>
      <c r="AK8" s="1134" t="s">
        <v>1043</v>
      </c>
      <c r="AL8" s="1135" t="s">
        <v>954</v>
      </c>
      <c r="AM8" s="1135" t="s">
        <v>670</v>
      </c>
      <c r="AN8" s="1877"/>
      <c r="AO8" s="1135" t="s">
        <v>616</v>
      </c>
      <c r="AP8" s="1136" t="s">
        <v>1042</v>
      </c>
      <c r="AQ8" s="1134" t="s">
        <v>1041</v>
      </c>
      <c r="AR8" s="1134" t="s">
        <v>618</v>
      </c>
      <c r="AS8" s="1135" t="s">
        <v>1043</v>
      </c>
      <c r="AT8" s="1135" t="s">
        <v>954</v>
      </c>
      <c r="AU8" s="1135" t="s">
        <v>670</v>
      </c>
    </row>
    <row r="9" spans="1:47" s="1128" customFormat="1" ht="12.75" customHeight="1">
      <c r="A9" s="1137" t="s">
        <v>294</v>
      </c>
      <c r="B9" s="1137" t="s">
        <v>295</v>
      </c>
      <c r="C9" s="1137">
        <v>1</v>
      </c>
      <c r="D9" s="1553">
        <v>2</v>
      </c>
      <c r="E9" s="1137">
        <v>3</v>
      </c>
      <c r="F9" s="1553">
        <v>4</v>
      </c>
      <c r="G9" s="1137">
        <v>5</v>
      </c>
      <c r="H9" s="1553">
        <v>6</v>
      </c>
      <c r="I9" s="1137">
        <v>7</v>
      </c>
      <c r="J9" s="1553">
        <v>8</v>
      </c>
      <c r="K9" s="1137">
        <v>9</v>
      </c>
      <c r="L9" s="1553">
        <v>10</v>
      </c>
      <c r="M9" s="1137">
        <v>11</v>
      </c>
      <c r="N9" s="1553">
        <v>12</v>
      </c>
      <c r="O9" s="1137">
        <v>13</v>
      </c>
      <c r="P9" s="1553">
        <v>14</v>
      </c>
      <c r="Q9" s="1137">
        <v>15</v>
      </c>
      <c r="R9" s="1553">
        <v>16</v>
      </c>
      <c r="S9" s="1137">
        <v>17</v>
      </c>
      <c r="T9" s="1553">
        <v>18</v>
      </c>
      <c r="U9" s="1137">
        <v>19</v>
      </c>
      <c r="V9" s="1553">
        <v>20</v>
      </c>
      <c r="W9" s="1137">
        <v>21</v>
      </c>
      <c r="X9" s="1553">
        <v>22</v>
      </c>
      <c r="Y9" s="1137">
        <v>23</v>
      </c>
      <c r="Z9" s="1553">
        <v>24</v>
      </c>
      <c r="AA9" s="1137">
        <v>25</v>
      </c>
      <c r="AB9" s="1565">
        <v>26</v>
      </c>
      <c r="AC9" s="1559">
        <v>27</v>
      </c>
      <c r="AD9" s="1553">
        <v>28</v>
      </c>
      <c r="AE9" s="1137">
        <v>29</v>
      </c>
      <c r="AF9" s="1553">
        <v>30</v>
      </c>
      <c r="AG9" s="1137">
        <v>31</v>
      </c>
      <c r="AH9" s="1553">
        <v>32</v>
      </c>
      <c r="AI9" s="1137">
        <v>33</v>
      </c>
      <c r="AJ9" s="1565">
        <v>34</v>
      </c>
      <c r="AK9" s="1559">
        <v>35</v>
      </c>
      <c r="AL9" s="1553">
        <v>36</v>
      </c>
      <c r="AM9" s="1137">
        <v>37</v>
      </c>
      <c r="AN9" s="1553">
        <v>30</v>
      </c>
      <c r="AO9" s="1137">
        <v>31</v>
      </c>
      <c r="AP9" s="1553">
        <v>32</v>
      </c>
      <c r="AQ9" s="1137">
        <v>33</v>
      </c>
      <c r="AR9" s="1553">
        <v>34</v>
      </c>
      <c r="AS9" s="1137">
        <v>35</v>
      </c>
      <c r="AT9" s="1553">
        <v>36</v>
      </c>
      <c r="AU9" s="1137">
        <v>37</v>
      </c>
    </row>
    <row r="10" spans="1:47" s="1159" customFormat="1" ht="26.25" customHeight="1">
      <c r="A10" s="1475"/>
      <c r="B10" s="1475" t="s">
        <v>447</v>
      </c>
      <c r="C10" s="1138"/>
      <c r="D10" s="1554"/>
      <c r="E10" s="1554"/>
      <c r="F10" s="1139"/>
      <c r="G10" s="1140">
        <f t="shared" ref="G10:AM10" si="0">+G11+G19+G23+G54</f>
        <v>31246.831723000003</v>
      </c>
      <c r="H10" s="1140">
        <f t="shared" si="0"/>
        <v>1000</v>
      </c>
      <c r="I10" s="1140">
        <f t="shared" si="0"/>
        <v>650</v>
      </c>
      <c r="J10" s="1140">
        <f t="shared" si="0"/>
        <v>438.16</v>
      </c>
      <c r="K10" s="1140">
        <f t="shared" si="0"/>
        <v>11005.9</v>
      </c>
      <c r="L10" s="1140">
        <f t="shared" si="0"/>
        <v>3866.85286</v>
      </c>
      <c r="M10" s="1140">
        <f t="shared" si="0"/>
        <v>14285.918863000001</v>
      </c>
      <c r="N10" s="1140">
        <f t="shared" si="0"/>
        <v>3398.5069369999997</v>
      </c>
      <c r="O10" s="1140">
        <f t="shared" si="0"/>
        <v>800.10431800000003</v>
      </c>
      <c r="P10" s="1140">
        <f t="shared" si="0"/>
        <v>300</v>
      </c>
      <c r="Q10" s="1140">
        <f t="shared" si="0"/>
        <v>78.691276999999999</v>
      </c>
      <c r="R10" s="1140">
        <f t="shared" si="0"/>
        <v>3102.0026189999999</v>
      </c>
      <c r="S10" s="1140">
        <f t="shared" si="0"/>
        <v>4846.5043180000002</v>
      </c>
      <c r="T10" s="1140">
        <f t="shared" si="0"/>
        <v>800.10431800000003</v>
      </c>
      <c r="U10" s="1140">
        <f t="shared" si="0"/>
        <v>300</v>
      </c>
      <c r="V10" s="1140">
        <f t="shared" si="0"/>
        <v>177.35</v>
      </c>
      <c r="W10" s="1140">
        <f t="shared" si="0"/>
        <v>5069.0499999999993</v>
      </c>
      <c r="X10" s="1140">
        <f t="shared" si="0"/>
        <v>13816.155146000001</v>
      </c>
      <c r="Y10" s="1140">
        <f t="shared" si="0"/>
        <v>159.740182</v>
      </c>
      <c r="Z10" s="1140">
        <f t="shared" si="0"/>
        <v>338.19600000000003</v>
      </c>
      <c r="AA10" s="1140">
        <f t="shared" si="0"/>
        <v>114.65872300000001</v>
      </c>
      <c r="AB10" s="1560">
        <f t="shared" si="0"/>
        <v>352.80999999999995</v>
      </c>
      <c r="AC10" s="1560">
        <f t="shared" si="0"/>
        <v>2127.0473809999999</v>
      </c>
      <c r="AD10" s="1140">
        <f t="shared" si="0"/>
        <v>6856.85</v>
      </c>
      <c r="AE10" s="1140">
        <f t="shared" si="0"/>
        <v>3866.85286</v>
      </c>
      <c r="AF10" s="1140">
        <f t="shared" si="0"/>
        <v>13187.067846000002</v>
      </c>
      <c r="AG10" s="1140">
        <f t="shared" si="0"/>
        <v>159.740182</v>
      </c>
      <c r="AH10" s="1140">
        <f t="shared" si="0"/>
        <v>316.70690000000002</v>
      </c>
      <c r="AI10" s="1140">
        <f t="shared" si="0"/>
        <v>114.65872300000001</v>
      </c>
      <c r="AJ10" s="1560">
        <f t="shared" si="0"/>
        <v>340.80999999999995</v>
      </c>
      <c r="AK10" s="1560">
        <f t="shared" si="0"/>
        <v>1978.4116809999998</v>
      </c>
      <c r="AL10" s="1140">
        <f t="shared" si="0"/>
        <v>6598.2815000000001</v>
      </c>
      <c r="AM10" s="1140">
        <f t="shared" si="0"/>
        <v>3678.4588599999997</v>
      </c>
      <c r="AN10" s="1556">
        <f>+AF10/X10</f>
        <v>0.95446726724242592</v>
      </c>
      <c r="AO10" s="1556">
        <f t="shared" ref="AO10:AU10" si="1">+AG10/Y10</f>
        <v>1</v>
      </c>
      <c r="AP10" s="1556">
        <f t="shared" si="1"/>
        <v>0.93645962696188012</v>
      </c>
      <c r="AQ10" s="1556">
        <f t="shared" si="1"/>
        <v>1</v>
      </c>
      <c r="AR10" s="1556">
        <f t="shared" si="1"/>
        <v>0.96598735863495933</v>
      </c>
      <c r="AS10" s="1556">
        <f t="shared" si="1"/>
        <v>0.93012111468334047</v>
      </c>
      <c r="AT10" s="1556">
        <f t="shared" si="1"/>
        <v>0.96229048323938826</v>
      </c>
      <c r="AU10" s="1556">
        <f t="shared" si="1"/>
        <v>0.95127975984066793</v>
      </c>
    </row>
    <row r="11" spans="1:47" s="1144" customFormat="1" ht="29.25" customHeight="1">
      <c r="A11" s="1185" t="s">
        <v>294</v>
      </c>
      <c r="B11" s="1186" t="s">
        <v>619</v>
      </c>
      <c r="C11" s="1187"/>
      <c r="D11" s="1187"/>
      <c r="E11" s="1187"/>
      <c r="F11" s="1188"/>
      <c r="G11" s="1189">
        <f>+SUM(G14:G18)</f>
        <v>4100</v>
      </c>
      <c r="H11" s="1189">
        <f t="shared" ref="H11:S11" si="2">+SUM(H14:H18)</f>
        <v>0</v>
      </c>
      <c r="I11" s="1189">
        <f t="shared" si="2"/>
        <v>0</v>
      </c>
      <c r="J11" s="1189">
        <f t="shared" si="2"/>
        <v>50</v>
      </c>
      <c r="K11" s="1189">
        <f t="shared" si="2"/>
        <v>950</v>
      </c>
      <c r="L11" s="1189">
        <f t="shared" si="2"/>
        <v>3100</v>
      </c>
      <c r="M11" s="1189">
        <f t="shared" si="2"/>
        <v>0</v>
      </c>
      <c r="N11" s="1189">
        <f t="shared" si="2"/>
        <v>0</v>
      </c>
      <c r="O11" s="1189">
        <f t="shared" si="2"/>
        <v>0</v>
      </c>
      <c r="P11" s="1189">
        <f t="shared" si="2"/>
        <v>0</v>
      </c>
      <c r="Q11" s="1189">
        <f t="shared" si="2"/>
        <v>32.291277000000001</v>
      </c>
      <c r="R11" s="1189">
        <f t="shared" si="2"/>
        <v>850</v>
      </c>
      <c r="S11" s="1189">
        <f t="shared" si="2"/>
        <v>0</v>
      </c>
      <c r="T11" s="1189">
        <f t="shared" ref="T11" si="3">+SUM(T14:T18)</f>
        <v>0</v>
      </c>
      <c r="U11" s="1189">
        <f t="shared" ref="U11" si="4">+SUM(U14:U18)</f>
        <v>0</v>
      </c>
      <c r="V11" s="1189">
        <f t="shared" ref="V11" si="5">+SUM(V14:V18)</f>
        <v>50</v>
      </c>
      <c r="W11" s="1189">
        <f t="shared" ref="W11" si="6">+SUM(W14:W18)</f>
        <v>950</v>
      </c>
      <c r="X11" s="1189">
        <f t="shared" ref="X11" si="7">+SUM(X14:X18)</f>
        <v>3217.7087229999997</v>
      </c>
      <c r="Y11" s="1189">
        <f t="shared" ref="Y11" si="8">+SUM(Y14:Y18)</f>
        <v>0</v>
      </c>
      <c r="Z11" s="1189">
        <f t="shared" ref="Z11" si="9">+SUM(Z14:Z18)</f>
        <v>0</v>
      </c>
      <c r="AA11" s="1189">
        <f t="shared" ref="AA11" si="10">+SUM(AA14:AA18)</f>
        <v>17.708722999999999</v>
      </c>
      <c r="AB11" s="1189">
        <f t="shared" ref="AB11" si="11">+SUM(AB14:AB18)</f>
        <v>0</v>
      </c>
      <c r="AC11" s="1189">
        <f t="shared" ref="AC11" si="12">+SUM(AC14:AC18)</f>
        <v>100</v>
      </c>
      <c r="AD11" s="1189">
        <f t="shared" ref="AD11" si="13">+SUM(AD14:AD18)</f>
        <v>0</v>
      </c>
      <c r="AE11" s="1189">
        <f t="shared" ref="AE11" si="14">+SUM(AE14:AE18)</f>
        <v>3100</v>
      </c>
      <c r="AF11" s="1189">
        <f t="shared" ref="AF11" si="15">+SUM(AF14:AF18)</f>
        <v>2959.7739229999997</v>
      </c>
      <c r="AG11" s="1189">
        <f t="shared" ref="AG11" si="16">+SUM(AG14:AG18)</f>
        <v>0</v>
      </c>
      <c r="AH11" s="1189">
        <f t="shared" ref="AH11" si="17">+SUM(AH14:AH18)</f>
        <v>0</v>
      </c>
      <c r="AI11" s="1189">
        <f>+SUM(AI14:AI18)</f>
        <v>17.708722999999999</v>
      </c>
      <c r="AJ11" s="1189">
        <f t="shared" ref="AJ11" si="18">+SUM(AJ14:AJ18)</f>
        <v>0</v>
      </c>
      <c r="AK11" s="1189">
        <f t="shared" ref="AK11" si="19">+SUM(AK14:AK18)</f>
        <v>30.459199999999999</v>
      </c>
      <c r="AL11" s="1189">
        <f t="shared" ref="AL11" si="20">+SUM(AL14:AL18)</f>
        <v>0</v>
      </c>
      <c r="AM11" s="1189">
        <f t="shared" ref="AM11" si="21">+SUM(AM14:AM18)</f>
        <v>2911.6059999999998</v>
      </c>
      <c r="AN11" s="1556">
        <f t="shared" ref="AN11:AN58" si="22">+AF11/X11</f>
        <v>0.91983898413293386</v>
      </c>
      <c r="AO11" s="1556"/>
      <c r="AP11" s="1556"/>
      <c r="AQ11" s="1556">
        <f t="shared" ref="AQ11:AQ57" si="23">+AI11/AA11</f>
        <v>1</v>
      </c>
      <c r="AR11" s="1556"/>
      <c r="AS11" s="1556">
        <f t="shared" ref="AS11:AS57" si="24">+AK11/AC11</f>
        <v>0.30459199999999997</v>
      </c>
      <c r="AT11" s="1556"/>
      <c r="AU11" s="1556">
        <f t="shared" ref="AU11:AU36" si="25">+AM11/AE11</f>
        <v>0.93922774193548375</v>
      </c>
    </row>
    <row r="12" spans="1:47" s="1147" customFormat="1">
      <c r="A12" s="1566" t="s">
        <v>296</v>
      </c>
      <c r="B12" s="1567" t="s">
        <v>1113</v>
      </c>
      <c r="C12" s="1568"/>
      <c r="D12" s="1568"/>
      <c r="E12" s="1568"/>
      <c r="F12" s="1569"/>
      <c r="G12" s="1570"/>
      <c r="H12" s="1570"/>
      <c r="I12" s="1570"/>
      <c r="J12" s="1570"/>
      <c r="K12" s="1570"/>
      <c r="L12" s="1570"/>
      <c r="M12" s="1570"/>
      <c r="N12" s="1570"/>
      <c r="O12" s="1570"/>
      <c r="P12" s="1570"/>
      <c r="Q12" s="1570"/>
      <c r="R12" s="1570"/>
      <c r="S12" s="1570"/>
      <c r="T12" s="1570"/>
      <c r="U12" s="1570"/>
      <c r="V12" s="1570"/>
      <c r="W12" s="1570"/>
      <c r="X12" s="1570"/>
      <c r="Y12" s="1570"/>
      <c r="Z12" s="1570"/>
      <c r="AA12" s="1570"/>
      <c r="AB12" s="1570"/>
      <c r="AC12" s="1570"/>
      <c r="AD12" s="1570"/>
      <c r="AE12" s="1570"/>
      <c r="AF12" s="1570"/>
      <c r="AG12" s="1570"/>
      <c r="AH12" s="1570"/>
      <c r="AI12" s="1570"/>
      <c r="AJ12" s="1570"/>
      <c r="AK12" s="1570"/>
      <c r="AL12" s="1570"/>
      <c r="AM12" s="1570"/>
      <c r="AN12" s="1571"/>
      <c r="AO12" s="1571"/>
      <c r="AP12" s="1571"/>
      <c r="AQ12" s="1571"/>
      <c r="AR12" s="1571"/>
      <c r="AS12" s="1571"/>
      <c r="AT12" s="1571"/>
      <c r="AU12" s="1571"/>
    </row>
    <row r="13" spans="1:47" s="1149" customFormat="1" ht="29.25" customHeight="1">
      <c r="A13" s="1548"/>
      <c r="B13" s="1549" t="s">
        <v>1225</v>
      </c>
      <c r="C13" s="1550"/>
      <c r="D13" s="1550"/>
      <c r="E13" s="1550"/>
      <c r="F13" s="1551"/>
      <c r="G13" s="1552"/>
      <c r="H13" s="1552"/>
      <c r="I13" s="1552"/>
      <c r="J13" s="1552"/>
      <c r="K13" s="1552"/>
      <c r="L13" s="1552"/>
      <c r="M13" s="1552"/>
      <c r="N13" s="1552"/>
      <c r="O13" s="1552"/>
      <c r="P13" s="1552"/>
      <c r="Q13" s="1552"/>
      <c r="R13" s="1552"/>
      <c r="S13" s="1552"/>
      <c r="T13" s="1552"/>
      <c r="U13" s="1552"/>
      <c r="V13" s="1552"/>
      <c r="W13" s="1552"/>
      <c r="X13" s="1552"/>
      <c r="Y13" s="1552"/>
      <c r="Z13" s="1552"/>
      <c r="AA13" s="1552"/>
      <c r="AB13" s="1552"/>
      <c r="AC13" s="1552"/>
      <c r="AD13" s="1552"/>
      <c r="AE13" s="1552"/>
      <c r="AF13" s="1552"/>
      <c r="AG13" s="1552"/>
      <c r="AH13" s="1552"/>
      <c r="AI13" s="1552"/>
      <c r="AJ13" s="1552"/>
      <c r="AK13" s="1552"/>
      <c r="AL13" s="1552"/>
      <c r="AM13" s="1552"/>
      <c r="AN13" s="1557"/>
      <c r="AO13" s="1557"/>
      <c r="AP13" s="1557"/>
      <c r="AQ13" s="1557"/>
      <c r="AR13" s="1557"/>
      <c r="AS13" s="1557"/>
      <c r="AT13" s="1557"/>
      <c r="AU13" s="1557"/>
    </row>
    <row r="14" spans="1:47" s="1155" customFormat="1" ht="36" customHeight="1">
      <c r="A14" s="1169">
        <v>1</v>
      </c>
      <c r="B14" s="1170" t="s">
        <v>941</v>
      </c>
      <c r="C14" s="1154" t="s">
        <v>515</v>
      </c>
      <c r="D14" s="1154"/>
      <c r="E14" s="1154">
        <v>2024</v>
      </c>
      <c r="F14" s="1154" t="s">
        <v>957</v>
      </c>
      <c r="G14" s="1173">
        <f>+SUM(H14:M14)</f>
        <v>1000</v>
      </c>
      <c r="H14" s="1173"/>
      <c r="I14" s="1173"/>
      <c r="J14" s="1173">
        <v>50</v>
      </c>
      <c r="K14" s="1173">
        <v>950</v>
      </c>
      <c r="L14" s="1173"/>
      <c r="M14" s="1173"/>
      <c r="N14" s="1173"/>
      <c r="O14" s="1173"/>
      <c r="P14" s="1173"/>
      <c r="Q14" s="1173">
        <v>32.291277000000001</v>
      </c>
      <c r="R14" s="1173">
        <v>850</v>
      </c>
      <c r="S14" s="1172"/>
      <c r="T14" s="1173"/>
      <c r="U14" s="1173"/>
      <c r="V14" s="1173">
        <v>50</v>
      </c>
      <c r="W14" s="1173">
        <v>950</v>
      </c>
      <c r="X14" s="1172">
        <f>+SUM(Y14:AE14)</f>
        <v>117.70872299999999</v>
      </c>
      <c r="Y14" s="1173"/>
      <c r="Z14" s="1173"/>
      <c r="AA14" s="1173">
        <v>17.708722999999999</v>
      </c>
      <c r="AB14" s="1173"/>
      <c r="AC14" s="1173">
        <v>100</v>
      </c>
      <c r="AD14" s="1173"/>
      <c r="AE14" s="1173"/>
      <c r="AF14" s="1172">
        <f>+SUM(AG14:AM14)</f>
        <v>48.167923000000002</v>
      </c>
      <c r="AG14" s="1173"/>
      <c r="AH14" s="1173"/>
      <c r="AI14" s="1173">
        <v>17.708722999999999</v>
      </c>
      <c r="AJ14" s="1173"/>
      <c r="AK14" s="1173">
        <v>30.459199999999999</v>
      </c>
      <c r="AL14" s="1173"/>
      <c r="AM14" s="1173"/>
      <c r="AN14" s="1557">
        <f t="shared" si="22"/>
        <v>0.40921285842171617</v>
      </c>
      <c r="AO14" s="1557"/>
      <c r="AP14" s="1557"/>
      <c r="AQ14" s="1557">
        <f t="shared" si="23"/>
        <v>1</v>
      </c>
      <c r="AR14" s="1557"/>
      <c r="AS14" s="1557">
        <f t="shared" si="24"/>
        <v>0.30459199999999997</v>
      </c>
      <c r="AT14" s="1557"/>
      <c r="AU14" s="1557"/>
    </row>
    <row r="15" spans="1:47" s="1149" customFormat="1" ht="28.9" customHeight="1">
      <c r="A15" s="1169">
        <v>2</v>
      </c>
      <c r="B15" s="1170" t="s">
        <v>1049</v>
      </c>
      <c r="C15" s="1154" t="s">
        <v>515</v>
      </c>
      <c r="D15" s="1154"/>
      <c r="E15" s="1154">
        <v>2025</v>
      </c>
      <c r="F15" s="1154" t="s">
        <v>1053</v>
      </c>
      <c r="G15" s="1173">
        <f>+SUM(H15:M15)</f>
        <v>600</v>
      </c>
      <c r="H15" s="1151"/>
      <c r="I15" s="1151"/>
      <c r="J15" s="1151"/>
      <c r="K15" s="1151"/>
      <c r="L15" s="1171">
        <v>600</v>
      </c>
      <c r="M15" s="1151"/>
      <c r="N15" s="1151"/>
      <c r="O15" s="1151"/>
      <c r="P15" s="1151"/>
      <c r="Q15" s="1151"/>
      <c r="R15" s="1151"/>
      <c r="S15" s="1148"/>
      <c r="T15" s="1151"/>
      <c r="U15" s="1151"/>
      <c r="V15" s="1151"/>
      <c r="W15" s="1151"/>
      <c r="X15" s="1172">
        <f>+SUM(Y15:AE15)</f>
        <v>600</v>
      </c>
      <c r="Y15" s="1151"/>
      <c r="Z15" s="1151"/>
      <c r="AA15" s="1151"/>
      <c r="AB15" s="1151"/>
      <c r="AC15" s="1151"/>
      <c r="AD15" s="1151"/>
      <c r="AE15" s="1171">
        <v>600</v>
      </c>
      <c r="AF15" s="1172">
        <f>+SUM(AG15:AM15)</f>
        <v>562.23159999999996</v>
      </c>
      <c r="AG15" s="1173"/>
      <c r="AH15" s="1173"/>
      <c r="AI15" s="1173"/>
      <c r="AJ15" s="1173"/>
      <c r="AK15" s="1173"/>
      <c r="AL15" s="1173"/>
      <c r="AM15" s="1173">
        <v>562.23159999999996</v>
      </c>
      <c r="AN15" s="1557">
        <f t="shared" si="22"/>
        <v>0.93705266666666664</v>
      </c>
      <c r="AO15" s="1557"/>
      <c r="AP15" s="1557"/>
      <c r="AQ15" s="1557"/>
      <c r="AR15" s="1557"/>
      <c r="AS15" s="1557"/>
      <c r="AT15" s="1557"/>
      <c r="AU15" s="1557">
        <f t="shared" si="25"/>
        <v>0.93705266666666664</v>
      </c>
    </row>
    <row r="16" spans="1:47" s="1149" customFormat="1" ht="28.9" customHeight="1">
      <c r="A16" s="1169">
        <v>3</v>
      </c>
      <c r="B16" s="1170" t="s">
        <v>1050</v>
      </c>
      <c r="C16" s="1154" t="s">
        <v>515</v>
      </c>
      <c r="D16" s="1154"/>
      <c r="E16" s="1154">
        <v>2025</v>
      </c>
      <c r="F16" s="1154" t="s">
        <v>1054</v>
      </c>
      <c r="G16" s="1173">
        <f>+SUM(H16:M16)</f>
        <v>1000</v>
      </c>
      <c r="H16" s="1151"/>
      <c r="I16" s="1151"/>
      <c r="J16" s="1151"/>
      <c r="K16" s="1151"/>
      <c r="L16" s="1171">
        <v>1000</v>
      </c>
      <c r="M16" s="1151"/>
      <c r="N16" s="1151"/>
      <c r="O16" s="1151"/>
      <c r="P16" s="1151"/>
      <c r="Q16" s="1151"/>
      <c r="R16" s="1151"/>
      <c r="S16" s="1148"/>
      <c r="T16" s="1151"/>
      <c r="U16" s="1151"/>
      <c r="V16" s="1151"/>
      <c r="W16" s="1151"/>
      <c r="X16" s="1172">
        <f>+SUM(Y16:AE16)</f>
        <v>1000</v>
      </c>
      <c r="Y16" s="1151"/>
      <c r="Z16" s="1151"/>
      <c r="AA16" s="1151"/>
      <c r="AB16" s="1151"/>
      <c r="AC16" s="1151"/>
      <c r="AD16" s="1151"/>
      <c r="AE16" s="1171">
        <v>1000</v>
      </c>
      <c r="AF16" s="1172">
        <f>+SUM(AG16:AM16)</f>
        <v>918.60990000000004</v>
      </c>
      <c r="AG16" s="1173"/>
      <c r="AH16" s="1173"/>
      <c r="AI16" s="1173"/>
      <c r="AJ16" s="1173"/>
      <c r="AK16" s="1173"/>
      <c r="AL16" s="1173"/>
      <c r="AM16" s="1173">
        <v>918.60990000000004</v>
      </c>
      <c r="AN16" s="1557">
        <f t="shared" si="22"/>
        <v>0.91860990000000009</v>
      </c>
      <c r="AO16" s="1557"/>
      <c r="AP16" s="1557"/>
      <c r="AQ16" s="1557"/>
      <c r="AR16" s="1557"/>
      <c r="AS16" s="1557"/>
      <c r="AT16" s="1557"/>
      <c r="AU16" s="1557">
        <f t="shared" si="25"/>
        <v>0.91860990000000009</v>
      </c>
    </row>
    <row r="17" spans="1:47" s="1149" customFormat="1" ht="28.9" customHeight="1">
      <c r="A17" s="1169">
        <v>4</v>
      </c>
      <c r="B17" s="1170" t="s">
        <v>1051</v>
      </c>
      <c r="C17" s="1154" t="s">
        <v>515</v>
      </c>
      <c r="D17" s="1154"/>
      <c r="E17" s="1154">
        <v>2025</v>
      </c>
      <c r="F17" s="1154" t="s">
        <v>1055</v>
      </c>
      <c r="G17" s="1173">
        <f>+SUM(H17:M17)</f>
        <v>500</v>
      </c>
      <c r="H17" s="1151"/>
      <c r="I17" s="1151"/>
      <c r="J17" s="1151"/>
      <c r="K17" s="1151"/>
      <c r="L17" s="1171">
        <v>500</v>
      </c>
      <c r="M17" s="1151"/>
      <c r="N17" s="1151"/>
      <c r="O17" s="1151"/>
      <c r="P17" s="1151"/>
      <c r="Q17" s="1151"/>
      <c r="R17" s="1151"/>
      <c r="S17" s="1148"/>
      <c r="T17" s="1151"/>
      <c r="U17" s="1151"/>
      <c r="V17" s="1151"/>
      <c r="W17" s="1151"/>
      <c r="X17" s="1172">
        <f>+SUM(Y17:AE17)</f>
        <v>500</v>
      </c>
      <c r="Y17" s="1151"/>
      <c r="Z17" s="1151"/>
      <c r="AA17" s="1151"/>
      <c r="AB17" s="1151"/>
      <c r="AC17" s="1151"/>
      <c r="AD17" s="1151"/>
      <c r="AE17" s="1171">
        <v>500</v>
      </c>
      <c r="AF17" s="1172">
        <f>+SUM(AG17:AM17)</f>
        <v>454.82100000000003</v>
      </c>
      <c r="AG17" s="1173"/>
      <c r="AH17" s="1173"/>
      <c r="AI17" s="1173"/>
      <c r="AJ17" s="1173"/>
      <c r="AK17" s="1173"/>
      <c r="AL17" s="1173"/>
      <c r="AM17" s="1173">
        <v>454.82100000000003</v>
      </c>
      <c r="AN17" s="1557">
        <f t="shared" si="22"/>
        <v>0.90964200000000006</v>
      </c>
      <c r="AO17" s="1557"/>
      <c r="AP17" s="1557"/>
      <c r="AQ17" s="1557"/>
      <c r="AR17" s="1557"/>
      <c r="AS17" s="1557"/>
      <c r="AT17" s="1557"/>
      <c r="AU17" s="1557">
        <f t="shared" si="25"/>
        <v>0.90964200000000006</v>
      </c>
    </row>
    <row r="18" spans="1:47" s="1149" customFormat="1" ht="28.9" customHeight="1">
      <c r="A18" s="1169">
        <v>5</v>
      </c>
      <c r="B18" s="1170" t="s">
        <v>1052</v>
      </c>
      <c r="C18" s="1154" t="s">
        <v>515</v>
      </c>
      <c r="D18" s="1154"/>
      <c r="E18" s="1154">
        <v>2025</v>
      </c>
      <c r="F18" s="1154" t="s">
        <v>1056</v>
      </c>
      <c r="G18" s="1173">
        <f>+SUM(H18:M18)</f>
        <v>1000</v>
      </c>
      <c r="H18" s="1151"/>
      <c r="I18" s="1151"/>
      <c r="J18" s="1151"/>
      <c r="K18" s="1151"/>
      <c r="L18" s="1171">
        <v>1000</v>
      </c>
      <c r="M18" s="1151"/>
      <c r="N18" s="1151"/>
      <c r="O18" s="1151"/>
      <c r="P18" s="1151"/>
      <c r="Q18" s="1151"/>
      <c r="R18" s="1151"/>
      <c r="S18" s="1148"/>
      <c r="T18" s="1151"/>
      <c r="U18" s="1151"/>
      <c r="V18" s="1151"/>
      <c r="W18" s="1151"/>
      <c r="X18" s="1172">
        <f>+SUM(Y18:AE18)</f>
        <v>1000</v>
      </c>
      <c r="Y18" s="1151"/>
      <c r="Z18" s="1151"/>
      <c r="AA18" s="1151"/>
      <c r="AB18" s="1151"/>
      <c r="AC18" s="1151"/>
      <c r="AD18" s="1151"/>
      <c r="AE18" s="1171">
        <v>1000</v>
      </c>
      <c r="AF18" s="1172">
        <f>+SUM(AG18:AM18)</f>
        <v>975.94349999999997</v>
      </c>
      <c r="AG18" s="1173"/>
      <c r="AH18" s="1173"/>
      <c r="AI18" s="1173"/>
      <c r="AJ18" s="1173"/>
      <c r="AK18" s="1173"/>
      <c r="AL18" s="1173"/>
      <c r="AM18" s="1173">
        <v>975.94349999999997</v>
      </c>
      <c r="AN18" s="1557">
        <f t="shared" si="22"/>
        <v>0.97594349999999996</v>
      </c>
      <c r="AO18" s="1557"/>
      <c r="AP18" s="1557"/>
      <c r="AQ18" s="1557"/>
      <c r="AR18" s="1557"/>
      <c r="AS18" s="1557"/>
      <c r="AT18" s="1557"/>
      <c r="AU18" s="1557">
        <f t="shared" si="25"/>
        <v>0.97594349999999996</v>
      </c>
    </row>
    <row r="19" spans="1:47" s="1147" customFormat="1" ht="18" customHeight="1">
      <c r="A19" s="1141" t="s">
        <v>295</v>
      </c>
      <c r="B19" s="1145" t="s">
        <v>620</v>
      </c>
      <c r="C19" s="1146"/>
      <c r="D19" s="1146"/>
      <c r="E19" s="1146"/>
      <c r="F19" s="1146"/>
      <c r="G19" s="1152">
        <f>+G22</f>
        <v>500</v>
      </c>
      <c r="H19" s="1152">
        <f t="shared" ref="H19:AM19" si="26">+H22</f>
        <v>0</v>
      </c>
      <c r="I19" s="1152">
        <f t="shared" si="26"/>
        <v>0</v>
      </c>
      <c r="J19" s="1152">
        <f t="shared" si="26"/>
        <v>15</v>
      </c>
      <c r="K19" s="1152">
        <f t="shared" si="26"/>
        <v>485</v>
      </c>
      <c r="L19" s="1152">
        <f t="shared" si="26"/>
        <v>0</v>
      </c>
      <c r="M19" s="1152">
        <f t="shared" si="26"/>
        <v>0</v>
      </c>
      <c r="N19" s="1152">
        <f t="shared" si="26"/>
        <v>0</v>
      </c>
      <c r="O19" s="1152">
        <f t="shared" si="26"/>
        <v>0</v>
      </c>
      <c r="P19" s="1152">
        <f t="shared" si="26"/>
        <v>0</v>
      </c>
      <c r="Q19" s="1152">
        <f t="shared" si="26"/>
        <v>0</v>
      </c>
      <c r="R19" s="1152">
        <f t="shared" si="26"/>
        <v>0</v>
      </c>
      <c r="S19" s="1152">
        <f t="shared" si="26"/>
        <v>0</v>
      </c>
      <c r="T19" s="1152">
        <f t="shared" si="26"/>
        <v>0</v>
      </c>
      <c r="U19" s="1152">
        <f t="shared" si="26"/>
        <v>0</v>
      </c>
      <c r="V19" s="1152">
        <f t="shared" si="26"/>
        <v>0</v>
      </c>
      <c r="W19" s="1152">
        <f t="shared" si="26"/>
        <v>0</v>
      </c>
      <c r="X19" s="1143">
        <f t="shared" si="26"/>
        <v>500</v>
      </c>
      <c r="Y19" s="1152">
        <f t="shared" si="26"/>
        <v>0</v>
      </c>
      <c r="Z19" s="1152">
        <f t="shared" si="26"/>
        <v>0</v>
      </c>
      <c r="AA19" s="1152">
        <f t="shared" si="26"/>
        <v>0</v>
      </c>
      <c r="AB19" s="1152">
        <f t="shared" si="26"/>
        <v>15</v>
      </c>
      <c r="AC19" s="1152">
        <f t="shared" si="26"/>
        <v>0</v>
      </c>
      <c r="AD19" s="1152">
        <f t="shared" si="26"/>
        <v>485</v>
      </c>
      <c r="AE19" s="1152">
        <f t="shared" si="26"/>
        <v>0</v>
      </c>
      <c r="AF19" s="1152">
        <f t="shared" si="26"/>
        <v>497.90660000000003</v>
      </c>
      <c r="AG19" s="1152">
        <f t="shared" si="26"/>
        <v>0</v>
      </c>
      <c r="AH19" s="1152">
        <f t="shared" si="26"/>
        <v>0</v>
      </c>
      <c r="AI19" s="1152">
        <f t="shared" si="26"/>
        <v>0</v>
      </c>
      <c r="AJ19" s="1152">
        <f t="shared" si="26"/>
        <v>15</v>
      </c>
      <c r="AK19" s="1152">
        <f t="shared" si="26"/>
        <v>0</v>
      </c>
      <c r="AL19" s="1152">
        <f t="shared" si="26"/>
        <v>482.90660000000003</v>
      </c>
      <c r="AM19" s="1152">
        <f t="shared" si="26"/>
        <v>0</v>
      </c>
      <c r="AN19" s="1556">
        <f t="shared" si="22"/>
        <v>0.99581320000000006</v>
      </c>
      <c r="AO19" s="1556"/>
      <c r="AP19" s="1556"/>
      <c r="AQ19" s="1556"/>
      <c r="AR19" s="1556">
        <f t="shared" ref="AR19:AR58" si="27">+AJ19/AB19</f>
        <v>1</v>
      </c>
      <c r="AS19" s="1556"/>
      <c r="AT19" s="1556">
        <f t="shared" ref="AT19:AT58" si="28">+AL19/AD19</f>
        <v>0.99568371134020628</v>
      </c>
      <c r="AU19" s="1556"/>
    </row>
    <row r="20" spans="1:47" s="1144" customFormat="1">
      <c r="A20" s="1543" t="s">
        <v>296</v>
      </c>
      <c r="B20" s="1544" t="s">
        <v>1113</v>
      </c>
      <c r="C20" s="1545"/>
      <c r="D20" s="1545"/>
      <c r="E20" s="1545"/>
      <c r="F20" s="1546"/>
      <c r="G20" s="1547"/>
      <c r="H20" s="1547"/>
      <c r="I20" s="1547"/>
      <c r="J20" s="1547"/>
      <c r="K20" s="1547"/>
      <c r="L20" s="1547"/>
      <c r="M20" s="1547"/>
      <c r="N20" s="1547"/>
      <c r="O20" s="1547"/>
      <c r="P20" s="1547"/>
      <c r="Q20" s="1547"/>
      <c r="R20" s="1547"/>
      <c r="S20" s="1547"/>
      <c r="T20" s="1547"/>
      <c r="U20" s="1547"/>
      <c r="V20" s="1547"/>
      <c r="W20" s="1547"/>
      <c r="X20" s="1547"/>
      <c r="Y20" s="1547"/>
      <c r="Z20" s="1547"/>
      <c r="AA20" s="1547"/>
      <c r="AB20" s="1547"/>
      <c r="AC20" s="1547"/>
      <c r="AD20" s="1547"/>
      <c r="AE20" s="1547"/>
      <c r="AF20" s="1547"/>
      <c r="AG20" s="1547"/>
      <c r="AH20" s="1547"/>
      <c r="AI20" s="1547"/>
      <c r="AJ20" s="1547"/>
      <c r="AK20" s="1547"/>
      <c r="AL20" s="1547"/>
      <c r="AM20" s="1547"/>
      <c r="AN20" s="1556"/>
      <c r="AO20" s="1556"/>
      <c r="AP20" s="1556"/>
      <c r="AQ20" s="1556"/>
      <c r="AR20" s="1556"/>
      <c r="AS20" s="1556"/>
      <c r="AT20" s="1556"/>
      <c r="AU20" s="1556"/>
    </row>
    <row r="21" spans="1:47" s="1149" customFormat="1" ht="29.25" customHeight="1">
      <c r="A21" s="1548"/>
      <c r="B21" s="1549" t="s">
        <v>1225</v>
      </c>
      <c r="C21" s="1550"/>
      <c r="D21" s="1550"/>
      <c r="E21" s="1550"/>
      <c r="F21" s="1551"/>
      <c r="G21" s="1552"/>
      <c r="H21" s="1552"/>
      <c r="I21" s="1552"/>
      <c r="J21" s="1552"/>
      <c r="K21" s="1552"/>
      <c r="L21" s="1552"/>
      <c r="M21" s="1552"/>
      <c r="N21" s="1552"/>
      <c r="O21" s="1552"/>
      <c r="P21" s="1552"/>
      <c r="Q21" s="1552"/>
      <c r="R21" s="1552"/>
      <c r="S21" s="1552"/>
      <c r="T21" s="1552"/>
      <c r="U21" s="1552"/>
      <c r="V21" s="1552"/>
      <c r="W21" s="1552"/>
      <c r="X21" s="1552"/>
      <c r="Y21" s="1552"/>
      <c r="Z21" s="1552"/>
      <c r="AA21" s="1552"/>
      <c r="AB21" s="1552"/>
      <c r="AC21" s="1552"/>
      <c r="AD21" s="1552"/>
      <c r="AE21" s="1552"/>
      <c r="AF21" s="1552"/>
      <c r="AG21" s="1552"/>
      <c r="AH21" s="1552"/>
      <c r="AI21" s="1552"/>
      <c r="AJ21" s="1552"/>
      <c r="AK21" s="1552"/>
      <c r="AL21" s="1552"/>
      <c r="AM21" s="1552"/>
      <c r="AN21" s="1557"/>
      <c r="AO21" s="1557"/>
      <c r="AP21" s="1557"/>
      <c r="AQ21" s="1557"/>
      <c r="AR21" s="1557"/>
      <c r="AS21" s="1557"/>
      <c r="AT21" s="1557"/>
      <c r="AU21" s="1557"/>
    </row>
    <row r="22" spans="1:47" s="1155" customFormat="1" ht="42" customHeight="1">
      <c r="A22" s="1169">
        <v>1</v>
      </c>
      <c r="B22" s="1179" t="s">
        <v>1073</v>
      </c>
      <c r="C22" s="1154" t="s">
        <v>515</v>
      </c>
      <c r="D22" s="1154"/>
      <c r="E22" s="1154">
        <v>2025</v>
      </c>
      <c r="F22" s="1154" t="s">
        <v>1074</v>
      </c>
      <c r="G22" s="1173">
        <f>+SUM(H22:M22)</f>
        <v>500</v>
      </c>
      <c r="H22" s="1173"/>
      <c r="I22" s="1172"/>
      <c r="J22" s="1172">
        <v>15</v>
      </c>
      <c r="K22" s="1173">
        <v>485</v>
      </c>
      <c r="L22" s="1173"/>
      <c r="M22" s="1173"/>
      <c r="N22" s="1173">
        <f>+SUM(O22:R22)</f>
        <v>0</v>
      </c>
      <c r="O22" s="1173"/>
      <c r="P22" s="1172"/>
      <c r="Q22" s="1173"/>
      <c r="R22" s="1173"/>
      <c r="S22" s="1173">
        <f>+SUM(T22:W22)</f>
        <v>0</v>
      </c>
      <c r="T22" s="1173"/>
      <c r="U22" s="1172"/>
      <c r="V22" s="1173"/>
      <c r="W22" s="1173"/>
      <c r="X22" s="1172">
        <f>+SUM(Y22:AE22)</f>
        <v>500</v>
      </c>
      <c r="Y22" s="1173"/>
      <c r="Z22" s="1172"/>
      <c r="AA22" s="1172"/>
      <c r="AB22" s="1172">
        <v>15</v>
      </c>
      <c r="AC22" s="1173"/>
      <c r="AD22" s="1173">
        <v>485</v>
      </c>
      <c r="AE22" s="1173"/>
      <c r="AF22" s="1172">
        <f>+SUM(AG22:AM22)</f>
        <v>497.90660000000003</v>
      </c>
      <c r="AG22" s="1173"/>
      <c r="AH22" s="1172"/>
      <c r="AI22" s="1172"/>
      <c r="AJ22" s="1173">
        <v>15</v>
      </c>
      <c r="AK22" s="1173"/>
      <c r="AL22" s="1173">
        <v>482.90660000000003</v>
      </c>
      <c r="AM22" s="1173"/>
      <c r="AN22" s="1557">
        <f t="shared" si="22"/>
        <v>0.99581320000000006</v>
      </c>
      <c r="AO22" s="1557"/>
      <c r="AP22" s="1557"/>
      <c r="AQ22" s="1557"/>
      <c r="AR22" s="1557">
        <f t="shared" si="27"/>
        <v>1</v>
      </c>
      <c r="AS22" s="1557"/>
      <c r="AT22" s="1557">
        <f t="shared" si="28"/>
        <v>0.99568371134020628</v>
      </c>
      <c r="AU22" s="1557"/>
    </row>
    <row r="23" spans="1:47" s="1144" customFormat="1" ht="27.75" customHeight="1">
      <c r="A23" s="1141" t="s">
        <v>229</v>
      </c>
      <c r="B23" s="1145" t="s">
        <v>621</v>
      </c>
      <c r="C23" s="1150"/>
      <c r="D23" s="1150"/>
      <c r="E23" s="1150"/>
      <c r="F23" s="1142"/>
      <c r="G23" s="1143">
        <f t="shared" ref="G23:W23" si="29">+SUM(G26:G53)</f>
        <v>26646.831723000003</v>
      </c>
      <c r="H23" s="1143">
        <f t="shared" si="29"/>
        <v>1000</v>
      </c>
      <c r="I23" s="1143">
        <f t="shared" si="29"/>
        <v>650</v>
      </c>
      <c r="J23" s="1143">
        <f t="shared" si="29"/>
        <v>373.16</v>
      </c>
      <c r="K23" s="1143">
        <f t="shared" si="29"/>
        <v>9570.9</v>
      </c>
      <c r="L23" s="1143">
        <f t="shared" si="29"/>
        <v>766.85285999999996</v>
      </c>
      <c r="M23" s="1143">
        <f t="shared" si="29"/>
        <v>14285.918863000001</v>
      </c>
      <c r="N23" s="1143">
        <f t="shared" si="29"/>
        <v>3398.5069369999997</v>
      </c>
      <c r="O23" s="1143">
        <f t="shared" si="29"/>
        <v>800.10431800000003</v>
      </c>
      <c r="P23" s="1143">
        <f t="shared" si="29"/>
        <v>300</v>
      </c>
      <c r="Q23" s="1143">
        <f t="shared" si="29"/>
        <v>46.4</v>
      </c>
      <c r="R23" s="1143">
        <f t="shared" si="29"/>
        <v>2252.0026189999999</v>
      </c>
      <c r="S23" s="1143">
        <f t="shared" si="29"/>
        <v>4846.5043180000002</v>
      </c>
      <c r="T23" s="1143">
        <f t="shared" si="29"/>
        <v>800.10431800000003</v>
      </c>
      <c r="U23" s="1143">
        <f t="shared" si="29"/>
        <v>300</v>
      </c>
      <c r="V23" s="1143">
        <f t="shared" si="29"/>
        <v>127.35</v>
      </c>
      <c r="W23" s="1143">
        <f t="shared" si="29"/>
        <v>4119.0499999999993</v>
      </c>
      <c r="X23" s="1143">
        <f>+SUM(X26:X53)</f>
        <v>8910.4464230000012</v>
      </c>
      <c r="Y23" s="1143">
        <f t="shared" ref="Y23:AM23" si="30">+SUM(Y26:Y53)</f>
        <v>159.740182</v>
      </c>
      <c r="Z23" s="1143">
        <f t="shared" si="30"/>
        <v>338.19600000000003</v>
      </c>
      <c r="AA23" s="1143">
        <f t="shared" si="30"/>
        <v>80.95</v>
      </c>
      <c r="AB23" s="1143">
        <f t="shared" si="30"/>
        <v>245.80999999999997</v>
      </c>
      <c r="AC23" s="1143">
        <f t="shared" si="30"/>
        <v>1867.0473809999999</v>
      </c>
      <c r="AD23" s="1143">
        <f t="shared" si="30"/>
        <v>5451.85</v>
      </c>
      <c r="AE23" s="1143">
        <f t="shared" si="30"/>
        <v>766.85285999999996</v>
      </c>
      <c r="AF23" s="1143">
        <f t="shared" si="30"/>
        <v>8673.3873230000008</v>
      </c>
      <c r="AG23" s="1143">
        <f t="shared" si="30"/>
        <v>159.740182</v>
      </c>
      <c r="AH23" s="1143">
        <f t="shared" si="30"/>
        <v>316.70690000000002</v>
      </c>
      <c r="AI23" s="1143">
        <f t="shared" si="30"/>
        <v>80.95</v>
      </c>
      <c r="AJ23" s="1143">
        <f t="shared" si="30"/>
        <v>245.80999999999997</v>
      </c>
      <c r="AK23" s="1143">
        <f t="shared" si="30"/>
        <v>1787.9524809999998</v>
      </c>
      <c r="AL23" s="1143">
        <f t="shared" si="30"/>
        <v>5315.3748999999998</v>
      </c>
      <c r="AM23" s="1143">
        <f t="shared" si="30"/>
        <v>766.85285999999996</v>
      </c>
      <c r="AN23" s="1556">
        <f t="shared" si="22"/>
        <v>0.97339537339138316</v>
      </c>
      <c r="AO23" s="1556">
        <f t="shared" ref="AO23:AO28" si="31">+AG23/Y23</f>
        <v>1</v>
      </c>
      <c r="AP23" s="1556">
        <f t="shared" ref="AP23:AP32" si="32">+AH23/Z23</f>
        <v>0.93645962696188012</v>
      </c>
      <c r="AQ23" s="1556">
        <f t="shared" si="23"/>
        <v>1</v>
      </c>
      <c r="AR23" s="1556">
        <f t="shared" si="27"/>
        <v>1</v>
      </c>
      <c r="AS23" s="1556">
        <f t="shared" si="24"/>
        <v>0.95763637237870392</v>
      </c>
      <c r="AT23" s="1556">
        <f t="shared" si="28"/>
        <v>0.97496719462200898</v>
      </c>
      <c r="AU23" s="1556">
        <f t="shared" si="25"/>
        <v>1</v>
      </c>
    </row>
    <row r="24" spans="1:47" s="1144" customFormat="1">
      <c r="A24" s="1543" t="s">
        <v>296</v>
      </c>
      <c r="B24" s="1544" t="s">
        <v>1113</v>
      </c>
      <c r="C24" s="1545"/>
      <c r="D24" s="1545"/>
      <c r="E24" s="1545"/>
      <c r="F24" s="1546"/>
      <c r="G24" s="1547"/>
      <c r="H24" s="1547"/>
      <c r="I24" s="1547"/>
      <c r="J24" s="1547"/>
      <c r="K24" s="1547"/>
      <c r="L24" s="1547"/>
      <c r="M24" s="1547"/>
      <c r="N24" s="1547"/>
      <c r="O24" s="1547"/>
      <c r="P24" s="1547"/>
      <c r="Q24" s="1547"/>
      <c r="R24" s="1547"/>
      <c r="S24" s="1547"/>
      <c r="T24" s="1547"/>
      <c r="U24" s="1547"/>
      <c r="V24" s="1547"/>
      <c r="W24" s="1547"/>
      <c r="X24" s="1547"/>
      <c r="Y24" s="1547"/>
      <c r="Z24" s="1547"/>
      <c r="AA24" s="1547"/>
      <c r="AB24" s="1547"/>
      <c r="AC24" s="1547"/>
      <c r="AD24" s="1547"/>
      <c r="AE24" s="1547"/>
      <c r="AF24" s="1547"/>
      <c r="AG24" s="1547"/>
      <c r="AH24" s="1547"/>
      <c r="AI24" s="1547"/>
      <c r="AJ24" s="1547"/>
      <c r="AK24" s="1547"/>
      <c r="AL24" s="1547"/>
      <c r="AM24" s="1547"/>
      <c r="AN24" s="1556"/>
      <c r="AO24" s="1556"/>
      <c r="AP24" s="1556"/>
      <c r="AQ24" s="1556"/>
      <c r="AR24" s="1556"/>
      <c r="AS24" s="1556"/>
      <c r="AT24" s="1556"/>
      <c r="AU24" s="1556"/>
    </row>
    <row r="25" spans="1:47" s="1149" customFormat="1" ht="29.25" customHeight="1">
      <c r="A25" s="1548"/>
      <c r="B25" s="1549" t="s">
        <v>1231</v>
      </c>
      <c r="C25" s="1550"/>
      <c r="D25" s="1550"/>
      <c r="E25" s="1550"/>
      <c r="F25" s="1551"/>
      <c r="G25" s="1552"/>
      <c r="H25" s="1552"/>
      <c r="I25" s="1552"/>
      <c r="J25" s="1552"/>
      <c r="K25" s="1552"/>
      <c r="L25" s="1552"/>
      <c r="M25" s="1552"/>
      <c r="N25" s="1552"/>
      <c r="O25" s="1552"/>
      <c r="P25" s="1552"/>
      <c r="Q25" s="1552"/>
      <c r="R25" s="1552"/>
      <c r="S25" s="1552"/>
      <c r="T25" s="1552"/>
      <c r="U25" s="1552"/>
      <c r="V25" s="1552"/>
      <c r="W25" s="1552"/>
      <c r="X25" s="1552"/>
      <c r="Y25" s="1552"/>
      <c r="Z25" s="1552"/>
      <c r="AA25" s="1552"/>
      <c r="AB25" s="1552"/>
      <c r="AC25" s="1552"/>
      <c r="AD25" s="1552"/>
      <c r="AE25" s="1552"/>
      <c r="AF25" s="1552"/>
      <c r="AG25" s="1552"/>
      <c r="AH25" s="1552"/>
      <c r="AI25" s="1552"/>
      <c r="AJ25" s="1552"/>
      <c r="AK25" s="1552"/>
      <c r="AL25" s="1552"/>
      <c r="AM25" s="1552"/>
      <c r="AN25" s="1557"/>
      <c r="AO25" s="1557"/>
      <c r="AP25" s="1557"/>
      <c r="AQ25" s="1557"/>
      <c r="AR25" s="1557"/>
      <c r="AS25" s="1557"/>
      <c r="AT25" s="1557"/>
      <c r="AU25" s="1557"/>
    </row>
    <row r="26" spans="1:47" s="1155" customFormat="1" ht="36">
      <c r="A26" s="1169">
        <v>1</v>
      </c>
      <c r="B26" s="1174" t="s">
        <v>1059</v>
      </c>
      <c r="C26" s="1153" t="s">
        <v>515</v>
      </c>
      <c r="D26" s="1153"/>
      <c r="E26" s="1154" t="s">
        <v>1232</v>
      </c>
      <c r="F26" s="1154" t="s">
        <v>1060</v>
      </c>
      <c r="G26" s="1172">
        <v>14013.258</v>
      </c>
      <c r="H26" s="1173"/>
      <c r="I26" s="1173"/>
      <c r="J26" s="1172"/>
      <c r="K26" s="1172"/>
      <c r="L26" s="1173">
        <v>271.04559999999998</v>
      </c>
      <c r="M26" s="1173">
        <f>+G26-L26</f>
        <v>13742.2124</v>
      </c>
      <c r="N26" s="1172"/>
      <c r="O26" s="1173"/>
      <c r="P26" s="1173"/>
      <c r="Q26" s="1173"/>
      <c r="R26" s="1173"/>
      <c r="S26" s="1172"/>
      <c r="T26" s="1173"/>
      <c r="U26" s="1173"/>
      <c r="V26" s="1173"/>
      <c r="W26" s="1173"/>
      <c r="X26" s="1172">
        <f>+SUM(Y26:AE26)</f>
        <v>271.04559999999998</v>
      </c>
      <c r="Y26" s="1173"/>
      <c r="Z26" s="1173"/>
      <c r="AA26" s="1173"/>
      <c r="AB26" s="1172"/>
      <c r="AC26" s="1173"/>
      <c r="AD26" s="1172"/>
      <c r="AE26" s="1173">
        <v>271.04559999999998</v>
      </c>
      <c r="AF26" s="1172">
        <f>+SUM(AG26:AM26)</f>
        <v>271.04559999999998</v>
      </c>
      <c r="AG26" s="1173"/>
      <c r="AH26" s="1173"/>
      <c r="AI26" s="1173"/>
      <c r="AJ26" s="1172"/>
      <c r="AK26" s="1173"/>
      <c r="AL26" s="1172"/>
      <c r="AM26" s="1173">
        <v>271.04559999999998</v>
      </c>
      <c r="AN26" s="1557">
        <f t="shared" si="22"/>
        <v>1</v>
      </c>
      <c r="AO26" s="1557"/>
      <c r="AP26" s="1557"/>
      <c r="AQ26" s="1557"/>
      <c r="AR26" s="1557"/>
      <c r="AS26" s="1557"/>
      <c r="AT26" s="1557"/>
      <c r="AU26" s="1557">
        <f t="shared" si="25"/>
        <v>1</v>
      </c>
    </row>
    <row r="27" spans="1:47" s="1149" customFormat="1" ht="29.25" customHeight="1">
      <c r="A27" s="1548"/>
      <c r="B27" s="1549" t="s">
        <v>1225</v>
      </c>
      <c r="C27" s="1550"/>
      <c r="D27" s="1550"/>
      <c r="E27" s="1550"/>
      <c r="F27" s="1551"/>
      <c r="G27" s="1552"/>
      <c r="H27" s="1552"/>
      <c r="I27" s="1552"/>
      <c r="J27" s="1552"/>
      <c r="K27" s="1552"/>
      <c r="L27" s="1552"/>
      <c r="M27" s="1552"/>
      <c r="N27" s="1552"/>
      <c r="O27" s="1552"/>
      <c r="P27" s="1552"/>
      <c r="Q27" s="1552"/>
      <c r="R27" s="1552"/>
      <c r="S27" s="1552"/>
      <c r="T27" s="1552"/>
      <c r="U27" s="1552"/>
      <c r="V27" s="1552"/>
      <c r="W27" s="1552"/>
      <c r="X27" s="1552"/>
      <c r="Y27" s="1552"/>
      <c r="Z27" s="1552"/>
      <c r="AA27" s="1552"/>
      <c r="AB27" s="1552"/>
      <c r="AC27" s="1552"/>
      <c r="AD27" s="1552"/>
      <c r="AE27" s="1552"/>
      <c r="AF27" s="1552"/>
      <c r="AG27" s="1552"/>
      <c r="AH27" s="1552"/>
      <c r="AI27" s="1552"/>
      <c r="AJ27" s="1552"/>
      <c r="AK27" s="1552"/>
      <c r="AL27" s="1552"/>
      <c r="AM27" s="1552"/>
      <c r="AN27" s="1557"/>
      <c r="AO27" s="1557"/>
      <c r="AP27" s="1557"/>
      <c r="AQ27" s="1557"/>
      <c r="AR27" s="1557"/>
      <c r="AS27" s="1557"/>
      <c r="AT27" s="1557"/>
      <c r="AU27" s="1557"/>
    </row>
    <row r="28" spans="1:47" s="1155" customFormat="1" ht="48">
      <c r="A28" s="1169">
        <v>2</v>
      </c>
      <c r="B28" s="1175" t="s">
        <v>958</v>
      </c>
      <c r="C28" s="1153" t="s">
        <v>515</v>
      </c>
      <c r="D28" s="1153"/>
      <c r="E28" s="1154">
        <v>2024</v>
      </c>
      <c r="F28" s="1154" t="s">
        <v>959</v>
      </c>
      <c r="G28" s="1173">
        <f t="shared" ref="G28:G35" si="33">+SUM(H28:M28)</f>
        <v>1000</v>
      </c>
      <c r="H28" s="1173">
        <v>1000</v>
      </c>
      <c r="I28" s="1173"/>
      <c r="J28" s="1173"/>
      <c r="K28" s="1173"/>
      <c r="L28" s="1173"/>
      <c r="M28" s="1173"/>
      <c r="N28" s="1173">
        <f t="shared" ref="N28:N35" si="34">+SUM(O28:R28)</f>
        <v>800.10431800000003</v>
      </c>
      <c r="O28" s="1173">
        <v>800.10431800000003</v>
      </c>
      <c r="P28" s="1173"/>
      <c r="Q28" s="1173"/>
      <c r="R28" s="1173"/>
      <c r="S28" s="1173">
        <f t="shared" ref="S28:S35" si="35">+SUM(T28:W28)</f>
        <v>800.10431800000003</v>
      </c>
      <c r="T28" s="1173">
        <v>800.10431800000003</v>
      </c>
      <c r="U28" s="1173"/>
      <c r="V28" s="1173"/>
      <c r="W28" s="1173"/>
      <c r="X28" s="1173">
        <f t="shared" ref="X28:X53" si="36">+SUM(Y28:AE28)</f>
        <v>159.740182</v>
      </c>
      <c r="Y28" s="1173">
        <v>159.740182</v>
      </c>
      <c r="Z28" s="1173"/>
      <c r="AA28" s="1173"/>
      <c r="AB28" s="1173"/>
      <c r="AC28" s="1173"/>
      <c r="AD28" s="1173"/>
      <c r="AE28" s="1173"/>
      <c r="AF28" s="1173">
        <f t="shared" ref="AF28:AF53" si="37">+SUM(AG28:AM28)</f>
        <v>159.740182</v>
      </c>
      <c r="AG28" s="1173">
        <v>159.740182</v>
      </c>
      <c r="AH28" s="1173"/>
      <c r="AI28" s="1173"/>
      <c r="AJ28" s="1173"/>
      <c r="AK28" s="1173"/>
      <c r="AL28" s="1173"/>
      <c r="AM28" s="1173"/>
      <c r="AN28" s="1557">
        <f t="shared" si="22"/>
        <v>1</v>
      </c>
      <c r="AO28" s="1557">
        <f t="shared" si="31"/>
        <v>1</v>
      </c>
      <c r="AP28" s="1557"/>
      <c r="AQ28" s="1557"/>
      <c r="AR28" s="1557"/>
      <c r="AS28" s="1557"/>
      <c r="AT28" s="1557"/>
      <c r="AU28" s="1557"/>
    </row>
    <row r="29" spans="1:47" s="1155" customFormat="1" ht="24">
      <c r="A29" s="1169">
        <v>3</v>
      </c>
      <c r="B29" s="1178" t="s">
        <v>942</v>
      </c>
      <c r="C29" s="1153" t="s">
        <v>515</v>
      </c>
      <c r="D29" s="1153"/>
      <c r="E29" s="1154">
        <v>2024</v>
      </c>
      <c r="F29" s="1154" t="s">
        <v>961</v>
      </c>
      <c r="G29" s="1172">
        <f t="shared" si="33"/>
        <v>300</v>
      </c>
      <c r="H29" s="1173"/>
      <c r="I29" s="1173"/>
      <c r="J29" s="1172"/>
      <c r="K29" s="1172">
        <v>300</v>
      </c>
      <c r="L29" s="1173"/>
      <c r="M29" s="1173"/>
      <c r="N29" s="1172">
        <f t="shared" si="34"/>
        <v>280.44244500000002</v>
      </c>
      <c r="O29" s="1173"/>
      <c r="P29" s="1173"/>
      <c r="Q29" s="1173"/>
      <c r="R29" s="1173">
        <v>280.44244500000002</v>
      </c>
      <c r="S29" s="1172">
        <f t="shared" si="35"/>
        <v>300</v>
      </c>
      <c r="T29" s="1173"/>
      <c r="U29" s="1173"/>
      <c r="V29" s="1173"/>
      <c r="W29" s="1172">
        <v>300</v>
      </c>
      <c r="X29" s="1172">
        <f t="shared" si="36"/>
        <v>19.557554999999979</v>
      </c>
      <c r="Y29" s="1173"/>
      <c r="Z29" s="1173"/>
      <c r="AA29" s="1173"/>
      <c r="AB29" s="1172"/>
      <c r="AC29" s="1172">
        <f>+W29-R29</f>
        <v>19.557554999999979</v>
      </c>
      <c r="AD29" s="1173"/>
      <c r="AE29" s="1173"/>
      <c r="AF29" s="1172">
        <f t="shared" si="37"/>
        <v>17.741755000000001</v>
      </c>
      <c r="AG29" s="1173"/>
      <c r="AH29" s="1173"/>
      <c r="AI29" s="1173"/>
      <c r="AJ29" s="1173"/>
      <c r="AK29" s="1172">
        <v>17.741755000000001</v>
      </c>
      <c r="AL29" s="1172"/>
      <c r="AM29" s="1173"/>
      <c r="AN29" s="1557">
        <f t="shared" si="22"/>
        <v>0.90715608367201417</v>
      </c>
      <c r="AO29" s="1557"/>
      <c r="AP29" s="1557"/>
      <c r="AQ29" s="1557"/>
      <c r="AR29" s="1557"/>
      <c r="AS29" s="1557">
        <f t="shared" si="24"/>
        <v>0.90715608367201417</v>
      </c>
      <c r="AT29" s="1557"/>
      <c r="AU29" s="1557"/>
    </row>
    <row r="30" spans="1:47" s="1155" customFormat="1" ht="37.5" customHeight="1">
      <c r="A30" s="1169">
        <v>4</v>
      </c>
      <c r="B30" s="1178" t="s">
        <v>962</v>
      </c>
      <c r="C30" s="1153" t="s">
        <v>515</v>
      </c>
      <c r="D30" s="1153"/>
      <c r="E30" s="1154">
        <v>2024</v>
      </c>
      <c r="F30" s="1154" t="s">
        <v>960</v>
      </c>
      <c r="G30" s="1173">
        <f t="shared" si="33"/>
        <v>450</v>
      </c>
      <c r="H30" s="1173"/>
      <c r="I30" s="1172">
        <v>450</v>
      </c>
      <c r="J30" s="1173"/>
      <c r="K30" s="1173"/>
      <c r="L30" s="1173"/>
      <c r="M30" s="1173"/>
      <c r="N30" s="1172">
        <f t="shared" si="34"/>
        <v>200</v>
      </c>
      <c r="O30" s="1173"/>
      <c r="P30" s="1172">
        <v>200</v>
      </c>
      <c r="Q30" s="1173"/>
      <c r="R30" s="1173"/>
      <c r="S30" s="1172">
        <f t="shared" si="35"/>
        <v>200</v>
      </c>
      <c r="T30" s="1173"/>
      <c r="U30" s="1172">
        <v>200</v>
      </c>
      <c r="V30" s="1173"/>
      <c r="W30" s="1173"/>
      <c r="X30" s="1172">
        <f t="shared" si="36"/>
        <v>238.196</v>
      </c>
      <c r="Y30" s="1173"/>
      <c r="Z30" s="1172">
        <v>238.196</v>
      </c>
      <c r="AA30" s="1172"/>
      <c r="AB30" s="1173"/>
      <c r="AC30" s="1173"/>
      <c r="AD30" s="1173"/>
      <c r="AE30" s="1173"/>
      <c r="AF30" s="1172">
        <f t="shared" si="37"/>
        <v>238.196</v>
      </c>
      <c r="AG30" s="1173"/>
      <c r="AH30" s="1172">
        <v>238.196</v>
      </c>
      <c r="AI30" s="1172"/>
      <c r="AJ30" s="1173"/>
      <c r="AK30" s="1173"/>
      <c r="AL30" s="1173"/>
      <c r="AM30" s="1173"/>
      <c r="AN30" s="1557">
        <f t="shared" si="22"/>
        <v>1</v>
      </c>
      <c r="AO30" s="1557"/>
      <c r="AP30" s="1557">
        <f t="shared" si="32"/>
        <v>1</v>
      </c>
      <c r="AQ30" s="1557"/>
      <c r="AR30" s="1557"/>
      <c r="AS30" s="1557"/>
      <c r="AT30" s="1557"/>
      <c r="AU30" s="1557"/>
    </row>
    <row r="31" spans="1:47" s="1155" customFormat="1" ht="60">
      <c r="A31" s="1169">
        <v>5</v>
      </c>
      <c r="B31" s="1177" t="s">
        <v>963</v>
      </c>
      <c r="C31" s="1153" t="s">
        <v>515</v>
      </c>
      <c r="D31" s="1153"/>
      <c r="E31" s="1154">
        <v>2024</v>
      </c>
      <c r="F31" s="1154" t="s">
        <v>964</v>
      </c>
      <c r="G31" s="1173">
        <f t="shared" si="33"/>
        <v>1200</v>
      </c>
      <c r="H31" s="1173"/>
      <c r="I31" s="1173"/>
      <c r="J31" s="1172">
        <v>57.14</v>
      </c>
      <c r="K31" s="1172">
        <v>1142.8599999999999</v>
      </c>
      <c r="L31" s="1173"/>
      <c r="M31" s="1173"/>
      <c r="N31" s="1172">
        <f t="shared" si="34"/>
        <v>733.9</v>
      </c>
      <c r="O31" s="1173"/>
      <c r="P31" s="1173"/>
      <c r="Q31" s="1173"/>
      <c r="R31" s="1173">
        <v>733.9</v>
      </c>
      <c r="S31" s="1172">
        <f t="shared" si="35"/>
        <v>1200</v>
      </c>
      <c r="T31" s="1173"/>
      <c r="U31" s="1173"/>
      <c r="V31" s="1173">
        <v>57.14</v>
      </c>
      <c r="W31" s="1173">
        <v>1142.8599999999999</v>
      </c>
      <c r="X31" s="1172">
        <f t="shared" si="36"/>
        <v>466.09999999999991</v>
      </c>
      <c r="Y31" s="1173"/>
      <c r="Z31" s="1173"/>
      <c r="AA31" s="1173">
        <v>57.14</v>
      </c>
      <c r="AB31" s="1172"/>
      <c r="AC31" s="1172">
        <v>408.95999999999992</v>
      </c>
      <c r="AD31" s="1173"/>
      <c r="AE31" s="1173"/>
      <c r="AF31" s="1172">
        <f t="shared" si="37"/>
        <v>430.28249999999997</v>
      </c>
      <c r="AG31" s="1173"/>
      <c r="AH31" s="1173"/>
      <c r="AI31" s="1173">
        <v>57.14</v>
      </c>
      <c r="AJ31" s="1172">
        <v>0</v>
      </c>
      <c r="AK31" s="1172">
        <v>373.14249999999998</v>
      </c>
      <c r="AL31" s="1172"/>
      <c r="AM31" s="1173"/>
      <c r="AN31" s="1557">
        <f t="shared" si="22"/>
        <v>0.92315490238146336</v>
      </c>
      <c r="AO31" s="1557"/>
      <c r="AP31" s="1557"/>
      <c r="AQ31" s="1557">
        <f t="shared" si="23"/>
        <v>1</v>
      </c>
      <c r="AR31" s="1557"/>
      <c r="AS31" s="1557">
        <f t="shared" si="24"/>
        <v>0.91241808489827869</v>
      </c>
      <c r="AT31" s="1557"/>
      <c r="AU31" s="1557"/>
    </row>
    <row r="32" spans="1:47" s="1155" customFormat="1" ht="48">
      <c r="A32" s="1169">
        <v>6</v>
      </c>
      <c r="B32" s="1177" t="s">
        <v>965</v>
      </c>
      <c r="C32" s="1153" t="s">
        <v>515</v>
      </c>
      <c r="D32" s="1153"/>
      <c r="E32" s="1154">
        <v>2024</v>
      </c>
      <c r="F32" s="1154" t="s">
        <v>1062</v>
      </c>
      <c r="G32" s="1173">
        <f t="shared" si="33"/>
        <v>200</v>
      </c>
      <c r="H32" s="1173"/>
      <c r="I32" s="1173">
        <v>200</v>
      </c>
      <c r="J32" s="1173"/>
      <c r="K32" s="1173"/>
      <c r="L32" s="1173"/>
      <c r="M32" s="1173"/>
      <c r="N32" s="1172">
        <f t="shared" si="34"/>
        <v>100</v>
      </c>
      <c r="O32" s="1173"/>
      <c r="P32" s="1173">
        <v>100</v>
      </c>
      <c r="Q32" s="1173"/>
      <c r="R32" s="1173"/>
      <c r="S32" s="1172">
        <f t="shared" si="35"/>
        <v>100</v>
      </c>
      <c r="T32" s="1173"/>
      <c r="U32" s="1173">
        <v>100</v>
      </c>
      <c r="V32" s="1173"/>
      <c r="W32" s="1173"/>
      <c r="X32" s="1172">
        <f t="shared" si="36"/>
        <v>100</v>
      </c>
      <c r="Y32" s="1173"/>
      <c r="Z32" s="1173">
        <v>100</v>
      </c>
      <c r="AA32" s="1173"/>
      <c r="AB32" s="1173"/>
      <c r="AC32" s="1173"/>
      <c r="AD32" s="1173"/>
      <c r="AE32" s="1173"/>
      <c r="AF32" s="1172">
        <f t="shared" si="37"/>
        <v>78.510900000000007</v>
      </c>
      <c r="AG32" s="1173"/>
      <c r="AH32" s="1173">
        <v>78.510900000000007</v>
      </c>
      <c r="AI32" s="1173"/>
      <c r="AJ32" s="1173"/>
      <c r="AK32" s="1173"/>
      <c r="AL32" s="1173"/>
      <c r="AM32" s="1173"/>
      <c r="AN32" s="1557">
        <f t="shared" si="22"/>
        <v>0.78510900000000006</v>
      </c>
      <c r="AO32" s="1557"/>
      <c r="AP32" s="1557">
        <f t="shared" si="32"/>
        <v>0.78510900000000006</v>
      </c>
      <c r="AQ32" s="1557"/>
      <c r="AR32" s="1557"/>
      <c r="AS32" s="1557"/>
      <c r="AT32" s="1557"/>
      <c r="AU32" s="1557"/>
    </row>
    <row r="33" spans="1:47" s="1155" customFormat="1" ht="60">
      <c r="A33" s="1169">
        <v>7</v>
      </c>
      <c r="B33" s="1174" t="s">
        <v>966</v>
      </c>
      <c r="C33" s="1153" t="s">
        <v>515</v>
      </c>
      <c r="D33" s="1153"/>
      <c r="E33" s="1154">
        <v>2024</v>
      </c>
      <c r="F33" s="1154" t="s">
        <v>967</v>
      </c>
      <c r="G33" s="1172">
        <f t="shared" si="33"/>
        <v>700</v>
      </c>
      <c r="H33" s="1173"/>
      <c r="I33" s="1173"/>
      <c r="J33" s="1173"/>
      <c r="K33" s="1172">
        <v>700</v>
      </c>
      <c r="L33" s="1173"/>
      <c r="M33" s="1173"/>
      <c r="N33" s="1172">
        <f t="shared" si="34"/>
        <v>0</v>
      </c>
      <c r="O33" s="1173"/>
      <c r="P33" s="1173"/>
      <c r="Q33" s="1173"/>
      <c r="R33" s="1173"/>
      <c r="S33" s="1172">
        <f t="shared" si="35"/>
        <v>700</v>
      </c>
      <c r="T33" s="1173"/>
      <c r="U33" s="1173"/>
      <c r="V33" s="1173"/>
      <c r="W33" s="1173">
        <v>700</v>
      </c>
      <c r="X33" s="1172">
        <f t="shared" si="36"/>
        <v>700</v>
      </c>
      <c r="Y33" s="1173"/>
      <c r="Z33" s="1173"/>
      <c r="AA33" s="1173"/>
      <c r="AB33" s="1173"/>
      <c r="AC33" s="1173">
        <v>700</v>
      </c>
      <c r="AD33" s="1172"/>
      <c r="AE33" s="1173"/>
      <c r="AF33" s="1172">
        <f t="shared" si="37"/>
        <v>697.41769999999997</v>
      </c>
      <c r="AG33" s="1173"/>
      <c r="AH33" s="1173"/>
      <c r="AI33" s="1173"/>
      <c r="AJ33" s="1173"/>
      <c r="AK33" s="1173">
        <v>697.41769999999997</v>
      </c>
      <c r="AL33" s="1172">
        <v>0</v>
      </c>
      <c r="AM33" s="1173"/>
      <c r="AN33" s="1557">
        <f t="shared" si="22"/>
        <v>0.99631099999999995</v>
      </c>
      <c r="AO33" s="1557"/>
      <c r="AP33" s="1557"/>
      <c r="AQ33" s="1557"/>
      <c r="AR33" s="1557"/>
      <c r="AS33" s="1557">
        <f t="shared" si="24"/>
        <v>0.99631099999999995</v>
      </c>
      <c r="AT33" s="1557"/>
      <c r="AU33" s="1557"/>
    </row>
    <row r="34" spans="1:47" s="1155" customFormat="1" ht="60">
      <c r="A34" s="1169">
        <v>8</v>
      </c>
      <c r="B34" s="1174" t="s">
        <v>968</v>
      </c>
      <c r="C34" s="1153" t="s">
        <v>515</v>
      </c>
      <c r="D34" s="1153"/>
      <c r="E34" s="1154">
        <v>2024</v>
      </c>
      <c r="F34" s="1154" t="s">
        <v>969</v>
      </c>
      <c r="G34" s="1172">
        <f t="shared" si="33"/>
        <v>700</v>
      </c>
      <c r="H34" s="1173"/>
      <c r="I34" s="1173"/>
      <c r="J34" s="1173"/>
      <c r="K34" s="1172">
        <v>700</v>
      </c>
      <c r="L34" s="1173"/>
      <c r="M34" s="1173"/>
      <c r="N34" s="1172">
        <f t="shared" si="34"/>
        <v>544.03117399999996</v>
      </c>
      <c r="O34" s="1173"/>
      <c r="P34" s="1173"/>
      <c r="Q34" s="1173"/>
      <c r="R34" s="1173">
        <v>544.03117399999996</v>
      </c>
      <c r="S34" s="1172">
        <f t="shared" si="35"/>
        <v>700</v>
      </c>
      <c r="T34" s="1173"/>
      <c r="U34" s="1173"/>
      <c r="V34" s="1173"/>
      <c r="W34" s="1173">
        <v>700</v>
      </c>
      <c r="X34" s="1172">
        <f t="shared" si="36"/>
        <v>155.96882600000004</v>
      </c>
      <c r="Y34" s="1173"/>
      <c r="Z34" s="1173"/>
      <c r="AA34" s="1173"/>
      <c r="AB34" s="1173"/>
      <c r="AC34" s="1173">
        <f>+W34-R34</f>
        <v>155.96882600000004</v>
      </c>
      <c r="AD34" s="1172"/>
      <c r="AE34" s="1173"/>
      <c r="AF34" s="1172">
        <f t="shared" si="37"/>
        <v>154.71892600000001</v>
      </c>
      <c r="AG34" s="1173"/>
      <c r="AH34" s="1173"/>
      <c r="AI34" s="1173"/>
      <c r="AJ34" s="1173"/>
      <c r="AK34" s="1173">
        <v>154.71892600000001</v>
      </c>
      <c r="AL34" s="1172"/>
      <c r="AM34" s="1173"/>
      <c r="AN34" s="1557">
        <f t="shared" si="22"/>
        <v>0.99198621909226892</v>
      </c>
      <c r="AO34" s="1557"/>
      <c r="AP34" s="1557"/>
      <c r="AQ34" s="1557"/>
      <c r="AR34" s="1557"/>
      <c r="AS34" s="1557">
        <f t="shared" si="24"/>
        <v>0.99198621909226892</v>
      </c>
      <c r="AT34" s="1557"/>
      <c r="AU34" s="1557"/>
    </row>
    <row r="35" spans="1:47" s="1155" customFormat="1" ht="60">
      <c r="A35" s="1169">
        <v>9</v>
      </c>
      <c r="B35" s="1174" t="s">
        <v>970</v>
      </c>
      <c r="C35" s="1153" t="s">
        <v>515</v>
      </c>
      <c r="D35" s="1153"/>
      <c r="E35" s="1154">
        <v>2024</v>
      </c>
      <c r="F35" s="1154" t="s">
        <v>971</v>
      </c>
      <c r="G35" s="1172">
        <f t="shared" si="33"/>
        <v>846.4</v>
      </c>
      <c r="H35" s="1173"/>
      <c r="I35" s="1173"/>
      <c r="J35" s="1172">
        <v>46.4</v>
      </c>
      <c r="K35" s="1172">
        <v>800</v>
      </c>
      <c r="L35" s="1173"/>
      <c r="M35" s="1173"/>
      <c r="N35" s="1172">
        <f t="shared" si="34"/>
        <v>740.029</v>
      </c>
      <c r="O35" s="1173"/>
      <c r="P35" s="1173"/>
      <c r="Q35" s="1172">
        <v>46.4</v>
      </c>
      <c r="R35" s="1173">
        <v>693.62900000000002</v>
      </c>
      <c r="S35" s="1172">
        <f t="shared" si="35"/>
        <v>846.4</v>
      </c>
      <c r="T35" s="1173"/>
      <c r="U35" s="1173"/>
      <c r="V35" s="1172">
        <v>46.4</v>
      </c>
      <c r="W35" s="1172">
        <v>800</v>
      </c>
      <c r="X35" s="1172">
        <f t="shared" si="36"/>
        <v>106.37099999999998</v>
      </c>
      <c r="Y35" s="1173"/>
      <c r="Z35" s="1173"/>
      <c r="AA35" s="1173"/>
      <c r="AB35" s="1172"/>
      <c r="AC35" s="1173">
        <v>106.37099999999998</v>
      </c>
      <c r="AD35" s="1172"/>
      <c r="AE35" s="1173"/>
      <c r="AF35" s="1172">
        <f t="shared" si="37"/>
        <v>85.108000000000004</v>
      </c>
      <c r="AG35" s="1173"/>
      <c r="AH35" s="1173"/>
      <c r="AI35" s="1173"/>
      <c r="AJ35" s="1172"/>
      <c r="AK35" s="1173">
        <v>85.108000000000004</v>
      </c>
      <c r="AL35" s="1172"/>
      <c r="AM35" s="1173"/>
      <c r="AN35" s="1557">
        <f t="shared" si="22"/>
        <v>0.8001052918558631</v>
      </c>
      <c r="AO35" s="1557"/>
      <c r="AP35" s="1557"/>
      <c r="AQ35" s="1557"/>
      <c r="AR35" s="1557"/>
      <c r="AS35" s="1557">
        <f t="shared" si="24"/>
        <v>0.8001052918558631</v>
      </c>
      <c r="AT35" s="1557"/>
      <c r="AU35" s="1557"/>
    </row>
    <row r="36" spans="1:47" s="1155" customFormat="1" ht="36">
      <c r="A36" s="1169">
        <v>10</v>
      </c>
      <c r="B36" s="1174" t="s">
        <v>1057</v>
      </c>
      <c r="C36" s="1153" t="s">
        <v>515</v>
      </c>
      <c r="D36" s="1153"/>
      <c r="E36" s="1154">
        <v>2025</v>
      </c>
      <c r="F36" s="1154" t="s">
        <v>1058</v>
      </c>
      <c r="G36" s="1172">
        <v>495.80725999999999</v>
      </c>
      <c r="H36" s="1173"/>
      <c r="I36" s="1173"/>
      <c r="J36" s="1172"/>
      <c r="K36" s="1172"/>
      <c r="L36" s="1172">
        <v>495.80725999999999</v>
      </c>
      <c r="M36" s="1173"/>
      <c r="N36" s="1172"/>
      <c r="O36" s="1173"/>
      <c r="P36" s="1173"/>
      <c r="Q36" s="1173"/>
      <c r="R36" s="1173"/>
      <c r="S36" s="1172"/>
      <c r="T36" s="1173"/>
      <c r="U36" s="1173"/>
      <c r="V36" s="1173"/>
      <c r="W36" s="1173"/>
      <c r="X36" s="1172">
        <f t="shared" si="36"/>
        <v>495.80725999999999</v>
      </c>
      <c r="Y36" s="1173"/>
      <c r="Z36" s="1173"/>
      <c r="AA36" s="1173"/>
      <c r="AB36" s="1172"/>
      <c r="AC36" s="1173"/>
      <c r="AD36" s="1172"/>
      <c r="AE36" s="1172">
        <v>495.80725999999999</v>
      </c>
      <c r="AF36" s="1172">
        <f t="shared" si="37"/>
        <v>495.80725999999999</v>
      </c>
      <c r="AG36" s="1173"/>
      <c r="AH36" s="1173"/>
      <c r="AI36" s="1173"/>
      <c r="AJ36" s="1172"/>
      <c r="AK36" s="1173"/>
      <c r="AL36" s="1172"/>
      <c r="AM36" s="1172">
        <v>495.80725999999999</v>
      </c>
      <c r="AN36" s="1557">
        <f t="shared" si="22"/>
        <v>1</v>
      </c>
      <c r="AO36" s="1557"/>
      <c r="AP36" s="1557"/>
      <c r="AQ36" s="1557"/>
      <c r="AR36" s="1557"/>
      <c r="AS36" s="1557"/>
      <c r="AT36" s="1557"/>
      <c r="AU36" s="1557">
        <f t="shared" si="25"/>
        <v>1</v>
      </c>
    </row>
    <row r="37" spans="1:47" s="1155" customFormat="1" ht="39.75" customHeight="1">
      <c r="A37" s="1169">
        <v>11</v>
      </c>
      <c r="B37" s="1174" t="s">
        <v>1063</v>
      </c>
      <c r="C37" s="1153" t="s">
        <v>515</v>
      </c>
      <c r="D37" s="1153"/>
      <c r="E37" s="1154">
        <v>2025</v>
      </c>
      <c r="F37" s="1154" t="s">
        <v>1068</v>
      </c>
      <c r="G37" s="1172">
        <f t="shared" ref="G37:G53" si="38">+SUM(H37:M37)</f>
        <v>156.04000000000002</v>
      </c>
      <c r="H37" s="1173"/>
      <c r="I37" s="1173"/>
      <c r="J37" s="1173">
        <v>6.65</v>
      </c>
      <c r="K37" s="1173">
        <v>108.04</v>
      </c>
      <c r="L37" s="1173"/>
      <c r="M37" s="1172">
        <v>41.35</v>
      </c>
      <c r="N37" s="1172"/>
      <c r="O37" s="1173"/>
      <c r="P37" s="1173"/>
      <c r="Q37" s="1173"/>
      <c r="R37" s="1173"/>
      <c r="S37" s="1172"/>
      <c r="T37" s="1173"/>
      <c r="U37" s="1173"/>
      <c r="V37" s="1173"/>
      <c r="W37" s="1173"/>
      <c r="X37" s="1172">
        <f t="shared" si="36"/>
        <v>114.69000000000001</v>
      </c>
      <c r="Y37" s="1173"/>
      <c r="Z37" s="1173"/>
      <c r="AA37" s="1173"/>
      <c r="AB37" s="1173">
        <v>6.65</v>
      </c>
      <c r="AC37" s="1173"/>
      <c r="AD37" s="1173">
        <v>108.04</v>
      </c>
      <c r="AE37" s="1173"/>
      <c r="AF37" s="1172">
        <f t="shared" si="37"/>
        <v>111.93600000000001</v>
      </c>
      <c r="AG37" s="1173"/>
      <c r="AH37" s="1173"/>
      <c r="AI37" s="1173"/>
      <c r="AJ37" s="1172">
        <v>6.65</v>
      </c>
      <c r="AK37" s="1173"/>
      <c r="AL37" s="1172">
        <v>105.286</v>
      </c>
      <c r="AM37" s="1173"/>
      <c r="AN37" s="1557">
        <f t="shared" si="22"/>
        <v>0.97598744441538055</v>
      </c>
      <c r="AO37" s="1557"/>
      <c r="AP37" s="1557"/>
      <c r="AQ37" s="1557"/>
      <c r="AR37" s="1557">
        <f t="shared" si="27"/>
        <v>1</v>
      </c>
      <c r="AS37" s="1557"/>
      <c r="AT37" s="1557">
        <f t="shared" si="28"/>
        <v>0.97450944094779712</v>
      </c>
      <c r="AU37" s="1557"/>
    </row>
    <row r="38" spans="1:47" s="1155" customFormat="1" ht="36">
      <c r="A38" s="1169">
        <v>12</v>
      </c>
      <c r="B38" s="1174" t="s">
        <v>1064</v>
      </c>
      <c r="C38" s="1153" t="s">
        <v>515</v>
      </c>
      <c r="D38" s="1153"/>
      <c r="E38" s="1154">
        <v>2025</v>
      </c>
      <c r="F38" s="1154" t="s">
        <v>1069</v>
      </c>
      <c r="G38" s="1172">
        <f t="shared" si="38"/>
        <v>200</v>
      </c>
      <c r="H38" s="1173"/>
      <c r="I38" s="1173"/>
      <c r="J38" s="1173">
        <v>8.5299999999999994</v>
      </c>
      <c r="K38" s="1173">
        <v>138.47</v>
      </c>
      <c r="L38" s="1173"/>
      <c r="M38" s="1172">
        <v>53</v>
      </c>
      <c r="N38" s="1172"/>
      <c r="O38" s="1173"/>
      <c r="P38" s="1173"/>
      <c r="Q38" s="1173"/>
      <c r="R38" s="1173"/>
      <c r="S38" s="1172"/>
      <c r="T38" s="1173"/>
      <c r="U38" s="1173"/>
      <c r="V38" s="1173"/>
      <c r="W38" s="1173"/>
      <c r="X38" s="1172">
        <f t="shared" si="36"/>
        <v>147</v>
      </c>
      <c r="Y38" s="1173"/>
      <c r="Z38" s="1173"/>
      <c r="AA38" s="1173"/>
      <c r="AB38" s="1173">
        <v>8.5299999999999994</v>
      </c>
      <c r="AC38" s="1173"/>
      <c r="AD38" s="1173">
        <v>138.47</v>
      </c>
      <c r="AE38" s="1173"/>
      <c r="AF38" s="1172">
        <f t="shared" si="37"/>
        <v>143.10400000000001</v>
      </c>
      <c r="AG38" s="1173"/>
      <c r="AH38" s="1173"/>
      <c r="AI38" s="1173"/>
      <c r="AJ38" s="1172">
        <v>8.5299999999999994</v>
      </c>
      <c r="AK38" s="1173"/>
      <c r="AL38" s="1172">
        <v>134.57400000000001</v>
      </c>
      <c r="AM38" s="1173"/>
      <c r="AN38" s="1557">
        <f t="shared" si="22"/>
        <v>0.97349659863945592</v>
      </c>
      <c r="AO38" s="1557"/>
      <c r="AP38" s="1557"/>
      <c r="AQ38" s="1557"/>
      <c r="AR38" s="1557">
        <f t="shared" si="27"/>
        <v>1</v>
      </c>
      <c r="AS38" s="1557"/>
      <c r="AT38" s="1557">
        <f t="shared" si="28"/>
        <v>0.97186394164801049</v>
      </c>
      <c r="AU38" s="1557"/>
    </row>
    <row r="39" spans="1:47" s="1155" customFormat="1" ht="51.75" customHeight="1">
      <c r="A39" s="1169">
        <v>13</v>
      </c>
      <c r="B39" s="1174" t="s">
        <v>1065</v>
      </c>
      <c r="C39" s="1153" t="s">
        <v>515</v>
      </c>
      <c r="D39" s="1153"/>
      <c r="E39" s="1154">
        <v>2025</v>
      </c>
      <c r="F39" s="1154" t="s">
        <v>1070</v>
      </c>
      <c r="G39" s="1172">
        <f t="shared" si="38"/>
        <v>412.01</v>
      </c>
      <c r="H39" s="1173"/>
      <c r="I39" s="1173"/>
      <c r="J39" s="1173">
        <v>17.61</v>
      </c>
      <c r="K39" s="1173">
        <v>284.95</v>
      </c>
      <c r="L39" s="1173"/>
      <c r="M39" s="1172">
        <v>109.45</v>
      </c>
      <c r="N39" s="1172"/>
      <c r="O39" s="1173"/>
      <c r="P39" s="1173"/>
      <c r="Q39" s="1173"/>
      <c r="R39" s="1173"/>
      <c r="S39" s="1172"/>
      <c r="T39" s="1173"/>
      <c r="U39" s="1173"/>
      <c r="V39" s="1173"/>
      <c r="W39" s="1173"/>
      <c r="X39" s="1172">
        <f t="shared" si="36"/>
        <v>302.56</v>
      </c>
      <c r="Y39" s="1173"/>
      <c r="Z39" s="1173"/>
      <c r="AA39" s="1173"/>
      <c r="AB39" s="1173">
        <v>17.61</v>
      </c>
      <c r="AC39" s="1173"/>
      <c r="AD39" s="1173">
        <v>284.95</v>
      </c>
      <c r="AE39" s="1173"/>
      <c r="AF39" s="1172">
        <f t="shared" si="37"/>
        <v>419.38309999999996</v>
      </c>
      <c r="AG39" s="1173"/>
      <c r="AH39" s="1173"/>
      <c r="AI39" s="1173"/>
      <c r="AJ39" s="1172">
        <v>25.21</v>
      </c>
      <c r="AK39" s="1173"/>
      <c r="AL39" s="1172">
        <v>394.17309999999998</v>
      </c>
      <c r="AM39" s="1173"/>
      <c r="AN39" s="1557">
        <f t="shared" si="22"/>
        <v>1.3861154812268639</v>
      </c>
      <c r="AO39" s="1557"/>
      <c r="AP39" s="1557"/>
      <c r="AQ39" s="1557"/>
      <c r="AR39" s="1557">
        <f t="shared" si="27"/>
        <v>1.4315729699034641</v>
      </c>
      <c r="AS39" s="1557"/>
      <c r="AT39" s="1557">
        <f t="shared" si="28"/>
        <v>1.3833061940691349</v>
      </c>
      <c r="AU39" s="1557"/>
    </row>
    <row r="40" spans="1:47" s="1155" customFormat="1" ht="36">
      <c r="A40" s="1169">
        <v>14</v>
      </c>
      <c r="B40" s="1174" t="s">
        <v>1066</v>
      </c>
      <c r="C40" s="1153" t="s">
        <v>515</v>
      </c>
      <c r="D40" s="1153"/>
      <c r="E40" s="1154">
        <v>2025</v>
      </c>
      <c r="F40" s="1154" t="s">
        <v>1071</v>
      </c>
      <c r="G40" s="1172">
        <f t="shared" si="38"/>
        <v>591.5</v>
      </c>
      <c r="H40" s="1173"/>
      <c r="I40" s="1173"/>
      <c r="J40" s="1173">
        <v>25.21</v>
      </c>
      <c r="K40" s="1173">
        <v>409.54</v>
      </c>
      <c r="L40" s="1173"/>
      <c r="M40" s="1172">
        <v>156.75</v>
      </c>
      <c r="N40" s="1172"/>
      <c r="O40" s="1173"/>
      <c r="P40" s="1173"/>
      <c r="Q40" s="1173"/>
      <c r="R40" s="1173"/>
      <c r="S40" s="1172"/>
      <c r="T40" s="1173"/>
      <c r="U40" s="1173"/>
      <c r="V40" s="1173"/>
      <c r="W40" s="1173"/>
      <c r="X40" s="1172">
        <f t="shared" si="36"/>
        <v>434.75</v>
      </c>
      <c r="Y40" s="1173"/>
      <c r="Z40" s="1173"/>
      <c r="AA40" s="1173"/>
      <c r="AB40" s="1173">
        <v>25.21</v>
      </c>
      <c r="AC40" s="1173"/>
      <c r="AD40" s="1173">
        <v>409.54</v>
      </c>
      <c r="AE40" s="1173"/>
      <c r="AF40" s="1172">
        <f t="shared" si="37"/>
        <v>298.29610000000002</v>
      </c>
      <c r="AG40" s="1173"/>
      <c r="AH40" s="1173"/>
      <c r="AI40" s="1173"/>
      <c r="AJ40" s="1172">
        <v>17.61</v>
      </c>
      <c r="AK40" s="1173"/>
      <c r="AL40" s="1172">
        <v>280.68610000000001</v>
      </c>
      <c r="AM40" s="1173"/>
      <c r="AN40" s="1557">
        <f t="shared" si="22"/>
        <v>0.68613248993674536</v>
      </c>
      <c r="AO40" s="1557"/>
      <c r="AP40" s="1557"/>
      <c r="AQ40" s="1557"/>
      <c r="AR40" s="1557">
        <f t="shared" si="27"/>
        <v>0.69853232844109481</v>
      </c>
      <c r="AS40" s="1557"/>
      <c r="AT40" s="1557">
        <f t="shared" si="28"/>
        <v>0.68536919470625579</v>
      </c>
      <c r="AU40" s="1557"/>
    </row>
    <row r="41" spans="1:47" s="1155" customFormat="1" ht="24">
      <c r="A41" s="1169">
        <v>15</v>
      </c>
      <c r="B41" s="1174" t="s">
        <v>1067</v>
      </c>
      <c r="C41" s="1153" t="s">
        <v>515</v>
      </c>
      <c r="D41" s="1153"/>
      <c r="E41" s="1154">
        <v>2025</v>
      </c>
      <c r="F41" s="1154" t="s">
        <v>1072</v>
      </c>
      <c r="G41" s="1172">
        <f t="shared" si="38"/>
        <v>691.15646300000003</v>
      </c>
      <c r="H41" s="1173"/>
      <c r="I41" s="1173"/>
      <c r="J41" s="1173">
        <v>17</v>
      </c>
      <c r="K41" s="1173">
        <v>491</v>
      </c>
      <c r="L41" s="1173"/>
      <c r="M41" s="1172">
        <v>183.156463</v>
      </c>
      <c r="N41" s="1172"/>
      <c r="O41" s="1173"/>
      <c r="P41" s="1173"/>
      <c r="Q41" s="1173"/>
      <c r="R41" s="1173"/>
      <c r="S41" s="1172"/>
      <c r="T41" s="1173"/>
      <c r="U41" s="1173"/>
      <c r="V41" s="1173"/>
      <c r="W41" s="1173"/>
      <c r="X41" s="1172">
        <f t="shared" si="36"/>
        <v>508</v>
      </c>
      <c r="Y41" s="1173"/>
      <c r="Z41" s="1173"/>
      <c r="AA41" s="1173"/>
      <c r="AB41" s="1173">
        <v>17</v>
      </c>
      <c r="AC41" s="1173"/>
      <c r="AD41" s="1173">
        <v>491</v>
      </c>
      <c r="AE41" s="1173"/>
      <c r="AF41" s="1172">
        <f t="shared" si="37"/>
        <v>472.14229999999998</v>
      </c>
      <c r="AG41" s="1173"/>
      <c r="AH41" s="1173"/>
      <c r="AI41" s="1173"/>
      <c r="AJ41" s="1172">
        <v>17</v>
      </c>
      <c r="AK41" s="1173"/>
      <c r="AL41" s="1172">
        <v>455.14229999999998</v>
      </c>
      <c r="AM41" s="1173"/>
      <c r="AN41" s="1557">
        <f t="shared" si="22"/>
        <v>0.92941397637795276</v>
      </c>
      <c r="AO41" s="1557"/>
      <c r="AP41" s="1557"/>
      <c r="AQ41" s="1557"/>
      <c r="AR41" s="1557">
        <f t="shared" si="27"/>
        <v>1</v>
      </c>
      <c r="AS41" s="1557"/>
      <c r="AT41" s="1557">
        <f t="shared" si="28"/>
        <v>0.92697006109979629</v>
      </c>
      <c r="AU41" s="1557"/>
    </row>
    <row r="42" spans="1:47" s="1155" customFormat="1" ht="36">
      <c r="A42" s="1169">
        <v>16</v>
      </c>
      <c r="B42" s="1174" t="s">
        <v>1077</v>
      </c>
      <c r="C42" s="1153" t="s">
        <v>515</v>
      </c>
      <c r="D42" s="1153"/>
      <c r="E42" s="1154">
        <v>2025</v>
      </c>
      <c r="F42" s="1154" t="s">
        <v>1078</v>
      </c>
      <c r="G42" s="1172">
        <f t="shared" si="38"/>
        <v>500</v>
      </c>
      <c r="H42" s="1173"/>
      <c r="I42" s="1173"/>
      <c r="J42" s="1172">
        <v>23.81</v>
      </c>
      <c r="K42" s="1172">
        <v>476.19</v>
      </c>
      <c r="L42" s="1173"/>
      <c r="M42" s="1173"/>
      <c r="N42" s="1172"/>
      <c r="O42" s="1173"/>
      <c r="P42" s="1173"/>
      <c r="Q42" s="1173"/>
      <c r="R42" s="1173"/>
      <c r="S42" s="1172"/>
      <c r="T42" s="1173"/>
      <c r="U42" s="1173"/>
      <c r="V42" s="1172">
        <v>23.81</v>
      </c>
      <c r="W42" s="1172">
        <v>476.19</v>
      </c>
      <c r="X42" s="1172">
        <f t="shared" si="36"/>
        <v>500</v>
      </c>
      <c r="Y42" s="1173"/>
      <c r="Z42" s="1173"/>
      <c r="AA42" s="1172">
        <v>23.81</v>
      </c>
      <c r="AB42" s="1172"/>
      <c r="AC42" s="1172">
        <v>476.19</v>
      </c>
      <c r="AD42" s="1172"/>
      <c r="AE42" s="1173"/>
      <c r="AF42" s="1172">
        <f t="shared" si="37"/>
        <v>483.6336</v>
      </c>
      <c r="AG42" s="1173"/>
      <c r="AH42" s="1173"/>
      <c r="AI42" s="1172">
        <v>23.81</v>
      </c>
      <c r="AJ42" s="1172"/>
      <c r="AK42" s="1172">
        <v>459.8236</v>
      </c>
      <c r="AL42" s="1172"/>
      <c r="AM42" s="1173"/>
      <c r="AN42" s="1557">
        <f t="shared" si="22"/>
        <v>0.96726719999999999</v>
      </c>
      <c r="AO42" s="1557"/>
      <c r="AP42" s="1557"/>
      <c r="AQ42" s="1557">
        <f t="shared" si="23"/>
        <v>1</v>
      </c>
      <c r="AR42" s="1557"/>
      <c r="AS42" s="1557">
        <f t="shared" si="24"/>
        <v>0.96563052563052565</v>
      </c>
      <c r="AT42" s="1557"/>
      <c r="AU42" s="1557"/>
    </row>
    <row r="43" spans="1:47" s="1155" customFormat="1" ht="36">
      <c r="A43" s="1169">
        <v>17</v>
      </c>
      <c r="B43" s="1174" t="s">
        <v>1079</v>
      </c>
      <c r="C43" s="1153" t="s">
        <v>515</v>
      </c>
      <c r="D43" s="1153"/>
      <c r="E43" s="1154">
        <v>2025</v>
      </c>
      <c r="F43" s="1180" t="s">
        <v>1080</v>
      </c>
      <c r="G43" s="1172">
        <f t="shared" si="38"/>
        <v>244.8</v>
      </c>
      <c r="H43" s="1181"/>
      <c r="I43" s="1181"/>
      <c r="J43" s="1181">
        <v>12</v>
      </c>
      <c r="K43" s="1181">
        <v>232.8</v>
      </c>
      <c r="L43" s="1173"/>
      <c r="M43" s="1173"/>
      <c r="N43" s="1172"/>
      <c r="O43" s="1173"/>
      <c r="P43" s="1173"/>
      <c r="Q43" s="1173"/>
      <c r="R43" s="1173"/>
      <c r="S43" s="1172"/>
      <c r="T43" s="1173"/>
      <c r="U43" s="1173"/>
      <c r="V43" s="1173"/>
      <c r="W43" s="1173"/>
      <c r="X43" s="1172">
        <f t="shared" si="36"/>
        <v>244.8</v>
      </c>
      <c r="Y43" s="1173"/>
      <c r="Z43" s="1173"/>
      <c r="AA43" s="1173"/>
      <c r="AB43" s="1181">
        <v>12</v>
      </c>
      <c r="AC43" s="1181"/>
      <c r="AD43" s="1181">
        <v>232.8</v>
      </c>
      <c r="AE43" s="1173"/>
      <c r="AF43" s="1172">
        <f t="shared" si="37"/>
        <v>237.447</v>
      </c>
      <c r="AG43" s="1173"/>
      <c r="AH43" s="1173"/>
      <c r="AI43" s="1173"/>
      <c r="AJ43" s="1181">
        <v>12</v>
      </c>
      <c r="AK43" s="1173"/>
      <c r="AL43" s="1172">
        <v>225.447</v>
      </c>
      <c r="AM43" s="1173"/>
      <c r="AN43" s="1557">
        <f t="shared" si="22"/>
        <v>0.96996323529411765</v>
      </c>
      <c r="AO43" s="1557"/>
      <c r="AP43" s="1557"/>
      <c r="AQ43" s="1557"/>
      <c r="AR43" s="1557">
        <f t="shared" si="27"/>
        <v>1</v>
      </c>
      <c r="AS43" s="1557"/>
      <c r="AT43" s="1557">
        <f t="shared" si="28"/>
        <v>0.9684149484536082</v>
      </c>
      <c r="AU43" s="1557"/>
    </row>
    <row r="44" spans="1:47" s="1155" customFormat="1" ht="48">
      <c r="A44" s="1169">
        <v>18</v>
      </c>
      <c r="B44" s="1174" t="s">
        <v>1081</v>
      </c>
      <c r="C44" s="1153" t="s">
        <v>515</v>
      </c>
      <c r="D44" s="1153"/>
      <c r="E44" s="1154">
        <v>2025</v>
      </c>
      <c r="F44" s="1180" t="s">
        <v>1229</v>
      </c>
      <c r="G44" s="1172">
        <f t="shared" si="38"/>
        <v>187.65</v>
      </c>
      <c r="H44" s="1181"/>
      <c r="I44" s="1181"/>
      <c r="J44" s="1181">
        <v>2.72</v>
      </c>
      <c r="K44" s="1181">
        <v>184.93</v>
      </c>
      <c r="L44" s="1173"/>
      <c r="M44" s="1173"/>
      <c r="N44" s="1172"/>
      <c r="O44" s="1173"/>
      <c r="P44" s="1173"/>
      <c r="Q44" s="1173"/>
      <c r="R44" s="1173"/>
      <c r="S44" s="1172"/>
      <c r="T44" s="1173"/>
      <c r="U44" s="1173"/>
      <c r="V44" s="1173"/>
      <c r="W44" s="1173"/>
      <c r="X44" s="1172">
        <f t="shared" si="36"/>
        <v>187.65</v>
      </c>
      <c r="Y44" s="1173"/>
      <c r="Z44" s="1173"/>
      <c r="AA44" s="1173"/>
      <c r="AB44" s="1181">
        <v>2.72</v>
      </c>
      <c r="AC44" s="1181"/>
      <c r="AD44" s="1181">
        <v>184.93</v>
      </c>
      <c r="AE44" s="1173"/>
      <c r="AF44" s="1172">
        <f t="shared" si="37"/>
        <v>181.0172</v>
      </c>
      <c r="AG44" s="1173"/>
      <c r="AH44" s="1173"/>
      <c r="AI44" s="1173"/>
      <c r="AJ44" s="1181">
        <v>2.72</v>
      </c>
      <c r="AK44" s="1173"/>
      <c r="AL44" s="1172">
        <v>178.2972</v>
      </c>
      <c r="AM44" s="1173"/>
      <c r="AN44" s="1557">
        <f t="shared" si="22"/>
        <v>0.96465334399147351</v>
      </c>
      <c r="AO44" s="1557"/>
      <c r="AP44" s="1557"/>
      <c r="AQ44" s="1557"/>
      <c r="AR44" s="1557">
        <f t="shared" si="27"/>
        <v>1</v>
      </c>
      <c r="AS44" s="1557"/>
      <c r="AT44" s="1557">
        <f t="shared" si="28"/>
        <v>0.96413345590223332</v>
      </c>
      <c r="AU44" s="1557"/>
    </row>
    <row r="45" spans="1:47" s="1155" customFormat="1" ht="36">
      <c r="A45" s="1169">
        <v>19</v>
      </c>
      <c r="B45" s="1174" t="s">
        <v>1082</v>
      </c>
      <c r="C45" s="1153" t="s">
        <v>515</v>
      </c>
      <c r="D45" s="1153"/>
      <c r="E45" s="1154">
        <v>2025</v>
      </c>
      <c r="F45" s="1180" t="s">
        <v>1230</v>
      </c>
      <c r="G45" s="1172">
        <f t="shared" si="38"/>
        <v>257.8</v>
      </c>
      <c r="H45" s="1181"/>
      <c r="I45" s="1181"/>
      <c r="J45" s="1181">
        <v>5.4</v>
      </c>
      <c r="K45" s="1181">
        <v>252.4</v>
      </c>
      <c r="L45" s="1173"/>
      <c r="M45" s="1173"/>
      <c r="N45" s="1172"/>
      <c r="O45" s="1173"/>
      <c r="P45" s="1173"/>
      <c r="Q45" s="1173"/>
      <c r="R45" s="1173"/>
      <c r="S45" s="1172"/>
      <c r="T45" s="1173"/>
      <c r="U45" s="1173"/>
      <c r="V45" s="1173"/>
      <c r="W45" s="1173"/>
      <c r="X45" s="1172">
        <f t="shared" si="36"/>
        <v>257.8</v>
      </c>
      <c r="Y45" s="1173"/>
      <c r="Z45" s="1173"/>
      <c r="AA45" s="1173"/>
      <c r="AB45" s="1181">
        <v>5.4</v>
      </c>
      <c r="AC45" s="1181"/>
      <c r="AD45" s="1181">
        <v>252.4</v>
      </c>
      <c r="AE45" s="1173"/>
      <c r="AF45" s="1172">
        <f t="shared" si="37"/>
        <v>253.80270000000002</v>
      </c>
      <c r="AG45" s="1173"/>
      <c r="AH45" s="1173"/>
      <c r="AI45" s="1173"/>
      <c r="AJ45" s="1181">
        <v>5.4</v>
      </c>
      <c r="AK45" s="1173"/>
      <c r="AL45" s="1172">
        <v>248.40270000000001</v>
      </c>
      <c r="AM45" s="1173"/>
      <c r="AN45" s="1557">
        <f t="shared" si="22"/>
        <v>0.98449456943366953</v>
      </c>
      <c r="AO45" s="1557"/>
      <c r="AP45" s="1557"/>
      <c r="AQ45" s="1557"/>
      <c r="AR45" s="1557">
        <f t="shared" si="27"/>
        <v>1</v>
      </c>
      <c r="AS45" s="1557"/>
      <c r="AT45" s="1557">
        <f t="shared" si="28"/>
        <v>0.98416283676703642</v>
      </c>
      <c r="AU45" s="1557"/>
    </row>
    <row r="46" spans="1:47" s="1155" customFormat="1" ht="48">
      <c r="A46" s="1169">
        <v>20</v>
      </c>
      <c r="B46" s="1174" t="s">
        <v>1083</v>
      </c>
      <c r="C46" s="1153" t="s">
        <v>515</v>
      </c>
      <c r="D46" s="1153"/>
      <c r="E46" s="1154">
        <v>2025</v>
      </c>
      <c r="F46" s="1180" t="s">
        <v>1090</v>
      </c>
      <c r="G46" s="1172">
        <f t="shared" si="38"/>
        <v>244.8</v>
      </c>
      <c r="H46" s="1181"/>
      <c r="I46" s="1181"/>
      <c r="J46" s="1181">
        <v>12</v>
      </c>
      <c r="K46" s="1181">
        <v>232.8</v>
      </c>
      <c r="L46" s="1173"/>
      <c r="M46" s="1173"/>
      <c r="N46" s="1172"/>
      <c r="O46" s="1173"/>
      <c r="P46" s="1173"/>
      <c r="Q46" s="1173"/>
      <c r="R46" s="1173"/>
      <c r="S46" s="1172"/>
      <c r="T46" s="1173"/>
      <c r="U46" s="1173"/>
      <c r="V46" s="1173"/>
      <c r="W46" s="1173"/>
      <c r="X46" s="1172">
        <f t="shared" si="36"/>
        <v>244.8</v>
      </c>
      <c r="Y46" s="1173"/>
      <c r="Z46" s="1173"/>
      <c r="AA46" s="1173"/>
      <c r="AB46" s="1181">
        <v>12</v>
      </c>
      <c r="AC46" s="1181"/>
      <c r="AD46" s="1181">
        <v>232.8</v>
      </c>
      <c r="AE46" s="1173"/>
      <c r="AF46" s="1172">
        <f t="shared" si="37"/>
        <v>244.6429</v>
      </c>
      <c r="AG46" s="1173"/>
      <c r="AH46" s="1173"/>
      <c r="AI46" s="1173"/>
      <c r="AJ46" s="1181">
        <v>12</v>
      </c>
      <c r="AK46" s="1173"/>
      <c r="AL46" s="1172">
        <v>232.6429</v>
      </c>
      <c r="AM46" s="1173"/>
      <c r="AN46" s="1557">
        <f t="shared" si="22"/>
        <v>0.99935825163398684</v>
      </c>
      <c r="AO46" s="1557"/>
      <c r="AP46" s="1557"/>
      <c r="AQ46" s="1557"/>
      <c r="AR46" s="1557">
        <f t="shared" si="27"/>
        <v>1</v>
      </c>
      <c r="AS46" s="1557"/>
      <c r="AT46" s="1557">
        <f t="shared" si="28"/>
        <v>0.99932517182130576</v>
      </c>
      <c r="AU46" s="1557"/>
    </row>
    <row r="47" spans="1:47" s="1155" customFormat="1" ht="24">
      <c r="A47" s="1169">
        <v>21</v>
      </c>
      <c r="B47" s="1174" t="s">
        <v>1084</v>
      </c>
      <c r="C47" s="1153" t="s">
        <v>515</v>
      </c>
      <c r="D47" s="1153"/>
      <c r="E47" s="1154">
        <v>2025</v>
      </c>
      <c r="F47" s="1180" t="s">
        <v>1091</v>
      </c>
      <c r="G47" s="1172">
        <f t="shared" si="38"/>
        <v>454.7</v>
      </c>
      <c r="H47" s="1181"/>
      <c r="I47" s="1181"/>
      <c r="J47" s="1181">
        <v>21.7</v>
      </c>
      <c r="K47" s="1181">
        <v>433</v>
      </c>
      <c r="L47" s="1173"/>
      <c r="M47" s="1173"/>
      <c r="N47" s="1172"/>
      <c r="O47" s="1173"/>
      <c r="P47" s="1173"/>
      <c r="Q47" s="1173"/>
      <c r="R47" s="1173"/>
      <c r="S47" s="1172"/>
      <c r="T47" s="1173"/>
      <c r="U47" s="1173"/>
      <c r="V47" s="1173"/>
      <c r="W47" s="1173"/>
      <c r="X47" s="1172">
        <f t="shared" si="36"/>
        <v>454.7</v>
      </c>
      <c r="Y47" s="1173"/>
      <c r="Z47" s="1173"/>
      <c r="AA47" s="1173"/>
      <c r="AB47" s="1181">
        <v>21.7</v>
      </c>
      <c r="AC47" s="1181"/>
      <c r="AD47" s="1181">
        <v>433</v>
      </c>
      <c r="AE47" s="1173"/>
      <c r="AF47" s="1172">
        <f t="shared" si="37"/>
        <v>452.09559999999999</v>
      </c>
      <c r="AG47" s="1173"/>
      <c r="AH47" s="1173"/>
      <c r="AI47" s="1173"/>
      <c r="AJ47" s="1181">
        <v>21.7</v>
      </c>
      <c r="AK47" s="1173"/>
      <c r="AL47" s="1172">
        <v>430.3956</v>
      </c>
      <c r="AM47" s="1173"/>
      <c r="AN47" s="1557">
        <f t="shared" si="22"/>
        <v>0.99427226742907415</v>
      </c>
      <c r="AO47" s="1557"/>
      <c r="AP47" s="1557"/>
      <c r="AQ47" s="1557"/>
      <c r="AR47" s="1557">
        <f t="shared" si="27"/>
        <v>1</v>
      </c>
      <c r="AS47" s="1557"/>
      <c r="AT47" s="1557">
        <f t="shared" si="28"/>
        <v>0.9939852193995381</v>
      </c>
      <c r="AU47" s="1557"/>
    </row>
    <row r="48" spans="1:47" s="1155" customFormat="1" ht="36">
      <c r="A48" s="1169">
        <v>22</v>
      </c>
      <c r="B48" s="1174" t="s">
        <v>1085</v>
      </c>
      <c r="C48" s="1153" t="s">
        <v>515</v>
      </c>
      <c r="D48" s="1153"/>
      <c r="E48" s="1154">
        <v>2025</v>
      </c>
      <c r="F48" s="1180" t="s">
        <v>1092</v>
      </c>
      <c r="G48" s="1172">
        <f t="shared" si="38"/>
        <v>620</v>
      </c>
      <c r="H48" s="1181"/>
      <c r="I48" s="1181"/>
      <c r="J48" s="1181">
        <v>16.5</v>
      </c>
      <c r="K48" s="1181">
        <v>603.5</v>
      </c>
      <c r="L48" s="1173"/>
      <c r="M48" s="1173"/>
      <c r="N48" s="1172"/>
      <c r="O48" s="1173"/>
      <c r="P48" s="1173"/>
      <c r="Q48" s="1173"/>
      <c r="R48" s="1173"/>
      <c r="S48" s="1172"/>
      <c r="T48" s="1173"/>
      <c r="U48" s="1173"/>
      <c r="V48" s="1173"/>
      <c r="W48" s="1173"/>
      <c r="X48" s="1172">
        <f t="shared" si="36"/>
        <v>620</v>
      </c>
      <c r="Y48" s="1173"/>
      <c r="Z48" s="1173"/>
      <c r="AA48" s="1173"/>
      <c r="AB48" s="1181">
        <v>16.5</v>
      </c>
      <c r="AC48" s="1181"/>
      <c r="AD48" s="1181">
        <v>603.5</v>
      </c>
      <c r="AE48" s="1173"/>
      <c r="AF48" s="1172">
        <f t="shared" si="37"/>
        <v>619.26800000000003</v>
      </c>
      <c r="AG48" s="1173"/>
      <c r="AH48" s="1173"/>
      <c r="AI48" s="1173"/>
      <c r="AJ48" s="1181">
        <v>16.5</v>
      </c>
      <c r="AK48" s="1173"/>
      <c r="AL48" s="1172">
        <v>602.76800000000003</v>
      </c>
      <c r="AM48" s="1173"/>
      <c r="AN48" s="1557">
        <f t="shared" si="22"/>
        <v>0.99881935483870976</v>
      </c>
      <c r="AO48" s="1557"/>
      <c r="AP48" s="1557"/>
      <c r="AQ48" s="1557"/>
      <c r="AR48" s="1557">
        <f t="shared" si="27"/>
        <v>1</v>
      </c>
      <c r="AS48" s="1557"/>
      <c r="AT48" s="1557">
        <f t="shared" si="28"/>
        <v>0.99878707539353773</v>
      </c>
      <c r="AU48" s="1557"/>
    </row>
    <row r="49" spans="1:47" s="1155" customFormat="1" ht="60">
      <c r="A49" s="1169">
        <v>23</v>
      </c>
      <c r="B49" s="1174" t="s">
        <v>1086</v>
      </c>
      <c r="C49" s="1153" t="s">
        <v>515</v>
      </c>
      <c r="D49" s="1153"/>
      <c r="E49" s="1154">
        <v>2025</v>
      </c>
      <c r="F49" s="1180" t="s">
        <v>1093</v>
      </c>
      <c r="G49" s="1172">
        <f t="shared" si="38"/>
        <v>420</v>
      </c>
      <c r="H49" s="1181"/>
      <c r="I49" s="1181"/>
      <c r="J49" s="1181">
        <v>20</v>
      </c>
      <c r="K49" s="1181">
        <v>400</v>
      </c>
      <c r="L49" s="1173"/>
      <c r="M49" s="1173"/>
      <c r="N49" s="1172"/>
      <c r="O49" s="1173"/>
      <c r="P49" s="1173"/>
      <c r="Q49" s="1173"/>
      <c r="R49" s="1173"/>
      <c r="S49" s="1172"/>
      <c r="T49" s="1173"/>
      <c r="U49" s="1173"/>
      <c r="V49" s="1173"/>
      <c r="W49" s="1173"/>
      <c r="X49" s="1172">
        <f t="shared" si="36"/>
        <v>420</v>
      </c>
      <c r="Y49" s="1173"/>
      <c r="Z49" s="1173"/>
      <c r="AA49" s="1173"/>
      <c r="AB49" s="1181">
        <v>20</v>
      </c>
      <c r="AC49" s="1181"/>
      <c r="AD49" s="1181">
        <v>400</v>
      </c>
      <c r="AE49" s="1173"/>
      <c r="AF49" s="1172">
        <f t="shared" si="37"/>
        <v>397.77789999999999</v>
      </c>
      <c r="AG49" s="1173"/>
      <c r="AH49" s="1173"/>
      <c r="AI49" s="1173"/>
      <c r="AJ49" s="1181">
        <v>20</v>
      </c>
      <c r="AK49" s="1173"/>
      <c r="AL49" s="1172">
        <v>377.77789999999999</v>
      </c>
      <c r="AM49" s="1173"/>
      <c r="AN49" s="1557">
        <f t="shared" si="22"/>
        <v>0.94709023809523807</v>
      </c>
      <c r="AO49" s="1557"/>
      <c r="AP49" s="1557"/>
      <c r="AQ49" s="1557"/>
      <c r="AR49" s="1557">
        <f t="shared" si="27"/>
        <v>1</v>
      </c>
      <c r="AS49" s="1557"/>
      <c r="AT49" s="1557">
        <f t="shared" si="28"/>
        <v>0.94444474999999994</v>
      </c>
      <c r="AU49" s="1557"/>
    </row>
    <row r="50" spans="1:47" s="1155" customFormat="1" ht="36">
      <c r="A50" s="1169">
        <v>24</v>
      </c>
      <c r="B50" s="1174" t="s">
        <v>1087</v>
      </c>
      <c r="C50" s="1153" t="s">
        <v>515</v>
      </c>
      <c r="D50" s="1153"/>
      <c r="E50" s="1154">
        <v>2025</v>
      </c>
      <c r="F50" s="1180" t="s">
        <v>1094</v>
      </c>
      <c r="G50" s="1172">
        <f t="shared" si="38"/>
        <v>315</v>
      </c>
      <c r="H50" s="1181"/>
      <c r="I50" s="1181"/>
      <c r="J50" s="1181">
        <v>15</v>
      </c>
      <c r="K50" s="1181">
        <v>300</v>
      </c>
      <c r="L50" s="1173"/>
      <c r="M50" s="1173"/>
      <c r="N50" s="1172"/>
      <c r="O50" s="1173"/>
      <c r="P50" s="1173"/>
      <c r="Q50" s="1173"/>
      <c r="R50" s="1173"/>
      <c r="S50" s="1172"/>
      <c r="T50" s="1173"/>
      <c r="U50" s="1173"/>
      <c r="V50" s="1173"/>
      <c r="W50" s="1173"/>
      <c r="X50" s="1172">
        <f t="shared" si="36"/>
        <v>315</v>
      </c>
      <c r="Y50" s="1173"/>
      <c r="Z50" s="1173"/>
      <c r="AA50" s="1173"/>
      <c r="AB50" s="1181">
        <v>15</v>
      </c>
      <c r="AC50" s="1181"/>
      <c r="AD50" s="1181">
        <v>300</v>
      </c>
      <c r="AE50" s="1173"/>
      <c r="AF50" s="1172">
        <f t="shared" si="37"/>
        <v>313.0532</v>
      </c>
      <c r="AG50" s="1173"/>
      <c r="AH50" s="1173"/>
      <c r="AI50" s="1173"/>
      <c r="AJ50" s="1181">
        <v>15</v>
      </c>
      <c r="AK50" s="1173"/>
      <c r="AL50" s="1172">
        <v>298.0532</v>
      </c>
      <c r="AM50" s="1173"/>
      <c r="AN50" s="1557">
        <f t="shared" si="22"/>
        <v>0.99381968253968256</v>
      </c>
      <c r="AO50" s="1557"/>
      <c r="AP50" s="1557"/>
      <c r="AQ50" s="1557"/>
      <c r="AR50" s="1557">
        <f t="shared" si="27"/>
        <v>1</v>
      </c>
      <c r="AS50" s="1557"/>
      <c r="AT50" s="1557">
        <f t="shared" si="28"/>
        <v>0.99351066666666665</v>
      </c>
      <c r="AU50" s="1557"/>
    </row>
    <row r="51" spans="1:47" s="1155" customFormat="1" ht="36">
      <c r="A51" s="1169">
        <v>25</v>
      </c>
      <c r="B51" s="1174" t="s">
        <v>1088</v>
      </c>
      <c r="C51" s="1153" t="s">
        <v>515</v>
      </c>
      <c r="D51" s="1153"/>
      <c r="E51" s="1154">
        <v>2025</v>
      </c>
      <c r="F51" s="1180" t="s">
        <v>1096</v>
      </c>
      <c r="G51" s="1172">
        <f t="shared" si="38"/>
        <v>594.21</v>
      </c>
      <c r="H51" s="1181"/>
      <c r="I51" s="1181"/>
      <c r="J51" s="1181">
        <v>21</v>
      </c>
      <c r="K51" s="1181">
        <v>573.21</v>
      </c>
      <c r="L51" s="1173"/>
      <c r="M51" s="1173"/>
      <c r="N51" s="1172"/>
      <c r="O51" s="1173"/>
      <c r="P51" s="1173"/>
      <c r="Q51" s="1173"/>
      <c r="R51" s="1173"/>
      <c r="S51" s="1172"/>
      <c r="T51" s="1173"/>
      <c r="U51" s="1173"/>
      <c r="V51" s="1173"/>
      <c r="W51" s="1173"/>
      <c r="X51" s="1172">
        <f t="shared" si="36"/>
        <v>594.21</v>
      </c>
      <c r="Y51" s="1173"/>
      <c r="Z51" s="1173"/>
      <c r="AA51" s="1173"/>
      <c r="AB51" s="1181">
        <v>21</v>
      </c>
      <c r="AC51" s="1181"/>
      <c r="AD51" s="1181">
        <v>573.21</v>
      </c>
      <c r="AE51" s="1173"/>
      <c r="AF51" s="1172">
        <f t="shared" si="37"/>
        <v>589.35820000000001</v>
      </c>
      <c r="AG51" s="1173"/>
      <c r="AH51" s="1173"/>
      <c r="AI51" s="1173"/>
      <c r="AJ51" s="1181">
        <v>21</v>
      </c>
      <c r="AK51" s="1173"/>
      <c r="AL51" s="1172">
        <v>568.35820000000001</v>
      </c>
      <c r="AM51" s="1173"/>
      <c r="AN51" s="1557">
        <f t="shared" si="22"/>
        <v>0.99183487319297892</v>
      </c>
      <c r="AO51" s="1557"/>
      <c r="AP51" s="1557"/>
      <c r="AQ51" s="1557"/>
      <c r="AR51" s="1557">
        <f t="shared" si="27"/>
        <v>1</v>
      </c>
      <c r="AS51" s="1557"/>
      <c r="AT51" s="1557">
        <f t="shared" si="28"/>
        <v>0.99153573733884615</v>
      </c>
      <c r="AU51" s="1557"/>
    </row>
    <row r="52" spans="1:47" s="1155" customFormat="1" ht="48">
      <c r="A52" s="1169">
        <v>26</v>
      </c>
      <c r="B52" s="1174" t="s">
        <v>1089</v>
      </c>
      <c r="C52" s="1153" t="s">
        <v>515</v>
      </c>
      <c r="D52" s="1153"/>
      <c r="E52" s="1154">
        <v>2025</v>
      </c>
      <c r="F52" s="1180" t="s">
        <v>1095</v>
      </c>
      <c r="G52" s="1181">
        <f t="shared" si="38"/>
        <v>600</v>
      </c>
      <c r="H52" s="1181"/>
      <c r="I52" s="1181"/>
      <c r="J52" s="1181">
        <v>30.07</v>
      </c>
      <c r="K52" s="1181">
        <v>569.92999999999995</v>
      </c>
      <c r="L52" s="1173"/>
      <c r="M52" s="1173"/>
      <c r="N52" s="1172"/>
      <c r="O52" s="1173"/>
      <c r="P52" s="1173"/>
      <c r="Q52" s="1173"/>
      <c r="R52" s="1173"/>
      <c r="S52" s="1172"/>
      <c r="T52" s="1173"/>
      <c r="U52" s="1173"/>
      <c r="V52" s="1173"/>
      <c r="W52" s="1173"/>
      <c r="X52" s="1172">
        <f t="shared" si="36"/>
        <v>600</v>
      </c>
      <c r="Y52" s="1173"/>
      <c r="Z52" s="1173"/>
      <c r="AA52" s="1173"/>
      <c r="AB52" s="1181">
        <v>30.07</v>
      </c>
      <c r="AC52" s="1181"/>
      <c r="AD52" s="1181">
        <v>569.92999999999995</v>
      </c>
      <c r="AE52" s="1173"/>
      <c r="AF52" s="1172">
        <f t="shared" si="37"/>
        <v>579.83040000000005</v>
      </c>
      <c r="AG52" s="1173"/>
      <c r="AH52" s="1173"/>
      <c r="AI52" s="1173"/>
      <c r="AJ52" s="1181">
        <v>30.07</v>
      </c>
      <c r="AK52" s="1173"/>
      <c r="AL52" s="1172">
        <v>549.7604</v>
      </c>
      <c r="AM52" s="1173"/>
      <c r="AN52" s="1557">
        <f t="shared" si="22"/>
        <v>0.96638400000000013</v>
      </c>
      <c r="AO52" s="1557"/>
      <c r="AP52" s="1557"/>
      <c r="AQ52" s="1557"/>
      <c r="AR52" s="1557">
        <f t="shared" si="27"/>
        <v>1</v>
      </c>
      <c r="AS52" s="1557"/>
      <c r="AT52" s="1557">
        <f t="shared" si="28"/>
        <v>0.96461039074974131</v>
      </c>
      <c r="AU52" s="1557"/>
    </row>
    <row r="53" spans="1:47" s="1155" customFormat="1" ht="41.25" customHeight="1">
      <c r="A53" s="1169">
        <v>27</v>
      </c>
      <c r="B53" s="1174" t="s">
        <v>1075</v>
      </c>
      <c r="C53" s="1153" t="s">
        <v>515</v>
      </c>
      <c r="D53" s="1153"/>
      <c r="E53" s="1154">
        <v>2025</v>
      </c>
      <c r="F53" s="1180" t="s">
        <v>1076</v>
      </c>
      <c r="G53" s="1172">
        <f t="shared" si="38"/>
        <v>251.7</v>
      </c>
      <c r="H53" s="1181"/>
      <c r="I53" s="1181"/>
      <c r="J53" s="1181">
        <v>14.42</v>
      </c>
      <c r="K53" s="1181">
        <v>237.28</v>
      </c>
      <c r="L53" s="1173"/>
      <c r="M53" s="1173"/>
      <c r="N53" s="1172"/>
      <c r="O53" s="1173"/>
      <c r="P53" s="1173"/>
      <c r="Q53" s="1173"/>
      <c r="R53" s="1173"/>
      <c r="S53" s="1172"/>
      <c r="T53" s="1173"/>
      <c r="U53" s="1173"/>
      <c r="V53" s="1173"/>
      <c r="W53" s="1173"/>
      <c r="X53" s="1172">
        <f t="shared" si="36"/>
        <v>251.7</v>
      </c>
      <c r="Y53" s="1173"/>
      <c r="Z53" s="1173"/>
      <c r="AA53" s="1173"/>
      <c r="AB53" s="1181">
        <v>14.42</v>
      </c>
      <c r="AC53" s="1181"/>
      <c r="AD53" s="1181">
        <v>237.28</v>
      </c>
      <c r="AE53" s="1173"/>
      <c r="AF53" s="1172">
        <f t="shared" si="37"/>
        <v>248.03029999999998</v>
      </c>
      <c r="AG53" s="1173"/>
      <c r="AH53" s="1173"/>
      <c r="AI53" s="1173"/>
      <c r="AJ53" s="1181">
        <v>14.42</v>
      </c>
      <c r="AK53" s="1173"/>
      <c r="AL53" s="1172">
        <v>233.6103</v>
      </c>
      <c r="AM53" s="1173"/>
      <c r="AN53" s="1557">
        <f t="shared" si="22"/>
        <v>0.98542034167659909</v>
      </c>
      <c r="AO53" s="1557"/>
      <c r="AP53" s="1557"/>
      <c r="AQ53" s="1557"/>
      <c r="AR53" s="1557">
        <f t="shared" si="27"/>
        <v>1</v>
      </c>
      <c r="AS53" s="1557"/>
      <c r="AT53" s="1557">
        <f t="shared" si="28"/>
        <v>0.98453430546190157</v>
      </c>
      <c r="AU53" s="1557"/>
    </row>
    <row r="54" spans="1:47" s="1144" customFormat="1" ht="43.5" customHeight="1">
      <c r="A54" s="1157" t="s">
        <v>379</v>
      </c>
      <c r="B54" s="1156" t="s">
        <v>680</v>
      </c>
      <c r="C54" s="1150"/>
      <c r="D54" s="1150"/>
      <c r="E54" s="1150"/>
      <c r="F54" s="1142"/>
      <c r="G54" s="1143">
        <f>+G57+G58</f>
        <v>0</v>
      </c>
      <c r="H54" s="1143">
        <f t="shared" ref="H54:AM54" si="39">+H57+H58</f>
        <v>0</v>
      </c>
      <c r="I54" s="1143">
        <f t="shared" si="39"/>
        <v>0</v>
      </c>
      <c r="J54" s="1143">
        <f t="shared" si="39"/>
        <v>0</v>
      </c>
      <c r="K54" s="1143">
        <f t="shared" si="39"/>
        <v>0</v>
      </c>
      <c r="L54" s="1143">
        <f t="shared" si="39"/>
        <v>0</v>
      </c>
      <c r="M54" s="1143">
        <f t="shared" si="39"/>
        <v>0</v>
      </c>
      <c r="N54" s="1143">
        <f t="shared" si="39"/>
        <v>0</v>
      </c>
      <c r="O54" s="1143">
        <f t="shared" si="39"/>
        <v>0</v>
      </c>
      <c r="P54" s="1143">
        <f t="shared" si="39"/>
        <v>0</v>
      </c>
      <c r="Q54" s="1143">
        <f t="shared" si="39"/>
        <v>0</v>
      </c>
      <c r="R54" s="1143">
        <f t="shared" si="39"/>
        <v>0</v>
      </c>
      <c r="S54" s="1143">
        <f t="shared" si="39"/>
        <v>0</v>
      </c>
      <c r="T54" s="1143">
        <f t="shared" si="39"/>
        <v>0</v>
      </c>
      <c r="U54" s="1143">
        <f t="shared" si="39"/>
        <v>0</v>
      </c>
      <c r="V54" s="1143">
        <f t="shared" si="39"/>
        <v>0</v>
      </c>
      <c r="W54" s="1143">
        <f t="shared" si="39"/>
        <v>0</v>
      </c>
      <c r="X54" s="1143">
        <f>+X57+X58</f>
        <v>1188</v>
      </c>
      <c r="Y54" s="1143">
        <f t="shared" si="39"/>
        <v>0</v>
      </c>
      <c r="Z54" s="1143">
        <f t="shared" si="39"/>
        <v>0</v>
      </c>
      <c r="AA54" s="1143">
        <f t="shared" si="39"/>
        <v>16</v>
      </c>
      <c r="AB54" s="1143">
        <f t="shared" si="39"/>
        <v>92</v>
      </c>
      <c r="AC54" s="1143">
        <f t="shared" si="39"/>
        <v>160</v>
      </c>
      <c r="AD54" s="1143">
        <f t="shared" si="39"/>
        <v>920</v>
      </c>
      <c r="AE54" s="1143">
        <f t="shared" si="39"/>
        <v>0</v>
      </c>
      <c r="AF54" s="1143">
        <f t="shared" si="39"/>
        <v>1056</v>
      </c>
      <c r="AG54" s="1143">
        <f t="shared" si="39"/>
        <v>0</v>
      </c>
      <c r="AH54" s="1143">
        <f t="shared" si="39"/>
        <v>0</v>
      </c>
      <c r="AI54" s="1143">
        <f t="shared" si="39"/>
        <v>16</v>
      </c>
      <c r="AJ54" s="1143">
        <f t="shared" si="39"/>
        <v>80</v>
      </c>
      <c r="AK54" s="1143">
        <f t="shared" si="39"/>
        <v>160</v>
      </c>
      <c r="AL54" s="1143">
        <f t="shared" si="39"/>
        <v>800</v>
      </c>
      <c r="AM54" s="1143">
        <f t="shared" si="39"/>
        <v>0</v>
      </c>
      <c r="AN54" s="1556">
        <f t="shared" si="22"/>
        <v>0.88888888888888884</v>
      </c>
      <c r="AO54" s="1556"/>
      <c r="AP54" s="1556"/>
      <c r="AQ54" s="1556">
        <f t="shared" si="23"/>
        <v>1</v>
      </c>
      <c r="AR54" s="1556">
        <f t="shared" si="27"/>
        <v>0.86956521739130432</v>
      </c>
      <c r="AS54" s="1556">
        <f t="shared" si="24"/>
        <v>1</v>
      </c>
      <c r="AT54" s="1556">
        <f t="shared" si="28"/>
        <v>0.86956521739130432</v>
      </c>
      <c r="AU54" s="1556"/>
    </row>
    <row r="55" spans="1:47" s="1144" customFormat="1">
      <c r="A55" s="1543" t="s">
        <v>296</v>
      </c>
      <c r="B55" s="1544" t="s">
        <v>1114</v>
      </c>
      <c r="C55" s="1545"/>
      <c r="D55" s="1545"/>
      <c r="E55" s="1545"/>
      <c r="F55" s="1546"/>
      <c r="G55" s="1547"/>
      <c r="H55" s="1547"/>
      <c r="I55" s="1547"/>
      <c r="J55" s="1547"/>
      <c r="K55" s="1547"/>
      <c r="L55" s="1547"/>
      <c r="M55" s="1547"/>
      <c r="N55" s="1547"/>
      <c r="O55" s="1547"/>
      <c r="P55" s="1547"/>
      <c r="Q55" s="1547"/>
      <c r="R55" s="1547"/>
      <c r="S55" s="1547"/>
      <c r="T55" s="1547"/>
      <c r="U55" s="1547"/>
      <c r="V55" s="1547"/>
      <c r="W55" s="1547"/>
      <c r="X55" s="1547"/>
      <c r="Y55" s="1547"/>
      <c r="Z55" s="1547"/>
      <c r="AA55" s="1547"/>
      <c r="AB55" s="1547"/>
      <c r="AC55" s="1547"/>
      <c r="AD55" s="1547"/>
      <c r="AE55" s="1547"/>
      <c r="AF55" s="1547"/>
      <c r="AG55" s="1547"/>
      <c r="AH55" s="1547"/>
      <c r="AI55" s="1547"/>
      <c r="AJ55" s="1547"/>
      <c r="AK55" s="1547"/>
      <c r="AL55" s="1547"/>
      <c r="AM55" s="1547"/>
      <c r="AN55" s="1556"/>
      <c r="AO55" s="1556"/>
      <c r="AP55" s="1556"/>
      <c r="AQ55" s="1556"/>
      <c r="AR55" s="1556"/>
      <c r="AS55" s="1556"/>
      <c r="AT55" s="1556"/>
      <c r="AU55" s="1556"/>
    </row>
    <row r="56" spans="1:47" s="1149" customFormat="1" ht="29.25" customHeight="1">
      <c r="A56" s="1548"/>
      <c r="B56" s="1549" t="s">
        <v>1225</v>
      </c>
      <c r="C56" s="1550"/>
      <c r="D56" s="1550"/>
      <c r="E56" s="1550"/>
      <c r="F56" s="1551"/>
      <c r="G56" s="1552"/>
      <c r="H56" s="1552"/>
      <c r="I56" s="1552"/>
      <c r="J56" s="1552"/>
      <c r="K56" s="1552"/>
      <c r="L56" s="1552"/>
      <c r="M56" s="1552"/>
      <c r="N56" s="1552"/>
      <c r="O56" s="1552"/>
      <c r="P56" s="1552"/>
      <c r="Q56" s="1552"/>
      <c r="R56" s="1552"/>
      <c r="S56" s="1552"/>
      <c r="T56" s="1552"/>
      <c r="U56" s="1552"/>
      <c r="V56" s="1552"/>
      <c r="W56" s="1552"/>
      <c r="X56" s="1552"/>
      <c r="Y56" s="1552"/>
      <c r="Z56" s="1552"/>
      <c r="AA56" s="1552"/>
      <c r="AB56" s="1552"/>
      <c r="AC56" s="1552"/>
      <c r="AD56" s="1552"/>
      <c r="AE56" s="1552"/>
      <c r="AF56" s="1552"/>
      <c r="AG56" s="1552"/>
      <c r="AH56" s="1552"/>
      <c r="AI56" s="1552"/>
      <c r="AJ56" s="1552"/>
      <c r="AK56" s="1552"/>
      <c r="AL56" s="1552"/>
      <c r="AM56" s="1552"/>
      <c r="AN56" s="1557"/>
      <c r="AO56" s="1557"/>
      <c r="AP56" s="1557"/>
      <c r="AQ56" s="1557"/>
      <c r="AR56" s="1557"/>
      <c r="AS56" s="1557"/>
      <c r="AT56" s="1557"/>
      <c r="AU56" s="1557"/>
    </row>
    <row r="57" spans="1:47" s="1155" customFormat="1" ht="72">
      <c r="A57" s="1176">
        <v>1</v>
      </c>
      <c r="B57" s="1190" t="s">
        <v>682</v>
      </c>
      <c r="C57" s="1193" t="s">
        <v>515</v>
      </c>
      <c r="D57" s="1555"/>
      <c r="E57" s="1154" t="s">
        <v>1228</v>
      </c>
      <c r="F57" s="1154"/>
      <c r="G57" s="1173">
        <f>+SUM(H57:M57)</f>
        <v>0</v>
      </c>
      <c r="H57" s="1173"/>
      <c r="I57" s="1173"/>
      <c r="J57" s="1173"/>
      <c r="K57" s="1173"/>
      <c r="L57" s="1173"/>
      <c r="M57" s="1173"/>
      <c r="N57" s="1172">
        <f>+SUM(O57:R57)</f>
        <v>0</v>
      </c>
      <c r="O57" s="1173"/>
      <c r="P57" s="1173"/>
      <c r="Q57" s="1173"/>
      <c r="R57" s="1173"/>
      <c r="S57" s="1172">
        <f>+SUM(T57:W57)</f>
        <v>0</v>
      </c>
      <c r="T57" s="1173"/>
      <c r="U57" s="1173"/>
      <c r="V57" s="1173"/>
      <c r="W57" s="1173"/>
      <c r="X57" s="1172">
        <f>+SUM(Y57:AE57)</f>
        <v>1056</v>
      </c>
      <c r="Y57" s="1173"/>
      <c r="Z57" s="1173"/>
      <c r="AA57" s="1173">
        <v>16</v>
      </c>
      <c r="AB57" s="1173">
        <v>80</v>
      </c>
      <c r="AC57" s="1173">
        <v>160</v>
      </c>
      <c r="AD57" s="1173">
        <v>800</v>
      </c>
      <c r="AE57" s="1173"/>
      <c r="AF57" s="1172">
        <f>+SUM(AG57:AM57)</f>
        <v>924</v>
      </c>
      <c r="AG57" s="1173"/>
      <c r="AH57" s="1173"/>
      <c r="AI57" s="1173">
        <v>16</v>
      </c>
      <c r="AJ57" s="1173">
        <v>68</v>
      </c>
      <c r="AK57" s="1173">
        <v>160</v>
      </c>
      <c r="AL57" s="1173">
        <v>680</v>
      </c>
      <c r="AM57" s="1173"/>
      <c r="AN57" s="1557">
        <f t="shared" si="22"/>
        <v>0.875</v>
      </c>
      <c r="AO57" s="1557"/>
      <c r="AP57" s="1557"/>
      <c r="AQ57" s="1557">
        <f t="shared" si="23"/>
        <v>1</v>
      </c>
      <c r="AR57" s="1557">
        <f t="shared" si="27"/>
        <v>0.85</v>
      </c>
      <c r="AS57" s="1557">
        <f t="shared" si="24"/>
        <v>1</v>
      </c>
      <c r="AT57" s="1557">
        <f t="shared" si="28"/>
        <v>0.85</v>
      </c>
      <c r="AU57" s="1557"/>
    </row>
    <row r="58" spans="1:47" s="1155" customFormat="1" ht="72">
      <c r="A58" s="1191">
        <v>2</v>
      </c>
      <c r="B58" s="1192" t="s">
        <v>683</v>
      </c>
      <c r="C58" s="1193" t="s">
        <v>515</v>
      </c>
      <c r="D58" s="1193"/>
      <c r="E58" s="1154" t="s">
        <v>1228</v>
      </c>
      <c r="F58" s="1194"/>
      <c r="G58" s="1195">
        <f>+SUM(H58:M58)</f>
        <v>0</v>
      </c>
      <c r="H58" s="1195"/>
      <c r="I58" s="1195"/>
      <c r="J58" s="1195"/>
      <c r="K58" s="1195"/>
      <c r="L58" s="1195"/>
      <c r="M58" s="1195"/>
      <c r="N58" s="1196">
        <f>+SUM(O58:R58)</f>
        <v>0</v>
      </c>
      <c r="O58" s="1195"/>
      <c r="P58" s="1195"/>
      <c r="Q58" s="1195"/>
      <c r="R58" s="1195"/>
      <c r="S58" s="1196">
        <f>+SUM(T58:W58)</f>
        <v>0</v>
      </c>
      <c r="T58" s="1195"/>
      <c r="U58" s="1195"/>
      <c r="V58" s="1195"/>
      <c r="W58" s="1195"/>
      <c r="X58" s="1196">
        <f>+SUM(Y58:AE58)</f>
        <v>132</v>
      </c>
      <c r="Y58" s="1195"/>
      <c r="Z58" s="1195"/>
      <c r="AA58" s="1195"/>
      <c r="AB58" s="1195">
        <v>12</v>
      </c>
      <c r="AC58" s="1195"/>
      <c r="AD58" s="1195">
        <v>120</v>
      </c>
      <c r="AE58" s="1195"/>
      <c r="AF58" s="1196">
        <f>+SUM(AG58:AM58)</f>
        <v>132</v>
      </c>
      <c r="AG58" s="1195"/>
      <c r="AH58" s="1195"/>
      <c r="AI58" s="1195"/>
      <c r="AJ58" s="1195">
        <v>12</v>
      </c>
      <c r="AK58" s="1195"/>
      <c r="AL58" s="1195">
        <v>120</v>
      </c>
      <c r="AM58" s="1195"/>
      <c r="AN58" s="1557">
        <f t="shared" si="22"/>
        <v>1</v>
      </c>
      <c r="AO58" s="1557"/>
      <c r="AP58" s="1557"/>
      <c r="AQ58" s="1557"/>
      <c r="AR58" s="1557">
        <f t="shared" si="27"/>
        <v>1</v>
      </c>
      <c r="AS58" s="1557"/>
      <c r="AT58" s="1557">
        <f t="shared" si="28"/>
        <v>1</v>
      </c>
      <c r="AU58" s="1557"/>
    </row>
    <row r="59" spans="1:47">
      <c r="A59" s="1127"/>
      <c r="C59" s="1158"/>
      <c r="D59" s="1158"/>
      <c r="E59" s="1158"/>
      <c r="F59" s="1127"/>
      <c r="L59" s="1159"/>
      <c r="Y59" s="1155"/>
      <c r="AB59" s="1155"/>
      <c r="AC59" s="1155"/>
      <c r="AI59" s="1889"/>
      <c r="AJ59" s="1889"/>
      <c r="AK59" s="1889"/>
      <c r="AL59" s="1889"/>
      <c r="AM59" s="1889"/>
      <c r="AQ59" s="1889"/>
      <c r="AR59" s="1889"/>
      <c r="AS59" s="1889"/>
      <c r="AT59" s="1889"/>
      <c r="AU59" s="1889"/>
    </row>
    <row r="60" spans="1:47" hidden="1">
      <c r="A60" s="1127"/>
      <c r="C60" s="1127"/>
      <c r="D60" s="1127"/>
      <c r="E60" s="1127"/>
      <c r="F60" s="1127"/>
      <c r="L60" s="1159"/>
      <c r="Y60" s="1155"/>
      <c r="AB60" s="1155"/>
      <c r="AC60" s="1155"/>
      <c r="AE60" s="1159"/>
      <c r="AI60" s="1888"/>
      <c r="AJ60" s="1888"/>
      <c r="AK60" s="1888"/>
      <c r="AL60" s="1888"/>
      <c r="AM60" s="1888"/>
      <c r="AQ60" s="1888"/>
      <c r="AR60" s="1888"/>
      <c r="AS60" s="1888"/>
      <c r="AT60" s="1888"/>
      <c r="AU60" s="1888"/>
    </row>
    <row r="61" spans="1:47" hidden="1">
      <c r="A61" s="1127"/>
      <c r="B61" s="1160"/>
      <c r="C61" s="1160"/>
      <c r="D61" s="1160"/>
      <c r="E61" s="1160"/>
      <c r="F61" s="1160"/>
      <c r="G61" s="1160"/>
      <c r="H61" s="1160"/>
      <c r="I61" s="1160"/>
      <c r="J61" s="1160"/>
      <c r="K61" s="1160"/>
      <c r="L61" s="1159"/>
      <c r="P61" s="1155"/>
      <c r="U61" s="1155"/>
      <c r="Y61" s="1155"/>
      <c r="Z61" s="1155"/>
      <c r="AA61" s="1155"/>
      <c r="AB61" s="1155"/>
      <c r="AC61" s="1155"/>
      <c r="AI61" s="1888" t="s">
        <v>215</v>
      </c>
      <c r="AJ61" s="1888"/>
      <c r="AK61" s="1888"/>
      <c r="AL61" s="1888"/>
      <c r="AM61" s="1888"/>
      <c r="AQ61" s="1888" t="s">
        <v>215</v>
      </c>
      <c r="AR61" s="1888"/>
      <c r="AS61" s="1888"/>
      <c r="AT61" s="1888"/>
      <c r="AU61" s="1888"/>
    </row>
    <row r="62" spans="1:47" hidden="1">
      <c r="A62" s="1127"/>
      <c r="C62" s="1127"/>
      <c r="D62" s="1127"/>
      <c r="E62" s="1127"/>
      <c r="F62" s="1127"/>
      <c r="Y62" s="1155"/>
      <c r="AB62" s="1155"/>
      <c r="AC62" s="1155"/>
      <c r="AI62" s="1889" t="s">
        <v>141</v>
      </c>
      <c r="AJ62" s="1889"/>
      <c r="AK62" s="1889"/>
      <c r="AL62" s="1889"/>
      <c r="AM62" s="1889"/>
      <c r="AQ62" s="1889" t="s">
        <v>141</v>
      </c>
      <c r="AR62" s="1889"/>
      <c r="AS62" s="1889"/>
      <c r="AT62" s="1889"/>
      <c r="AU62" s="1889"/>
    </row>
    <row r="63" spans="1:47" hidden="1">
      <c r="A63" s="1127"/>
      <c r="C63" s="1127"/>
      <c r="D63" s="1127"/>
      <c r="E63" s="1127"/>
      <c r="F63" s="1127"/>
      <c r="Y63" s="1155"/>
      <c r="AB63" s="1155"/>
      <c r="AC63" s="1155"/>
      <c r="AI63" s="1162"/>
      <c r="AJ63" s="1162"/>
      <c r="AK63" s="1163"/>
      <c r="AL63" s="1163"/>
      <c r="AM63" s="1161"/>
      <c r="AQ63" s="1162"/>
      <c r="AR63" s="1162"/>
      <c r="AS63" s="1163"/>
      <c r="AT63" s="1163"/>
      <c r="AU63" s="1161"/>
    </row>
    <row r="64" spans="1:47" hidden="1">
      <c r="A64" s="1127"/>
      <c r="C64" s="1127"/>
      <c r="D64" s="1127"/>
      <c r="E64" s="1127"/>
      <c r="F64" s="1127"/>
      <c r="Y64" s="1155"/>
      <c r="AB64" s="1155"/>
      <c r="AC64" s="1155"/>
      <c r="AI64" s="1162"/>
      <c r="AJ64" s="1162"/>
      <c r="AK64" s="85"/>
      <c r="AL64" s="1164"/>
      <c r="AM64" s="1162"/>
      <c r="AQ64" s="1162"/>
      <c r="AR64" s="1162"/>
      <c r="AS64" s="85"/>
      <c r="AT64" s="1164"/>
      <c r="AU64" s="1162"/>
    </row>
    <row r="65" spans="1:47" hidden="1">
      <c r="A65" s="1127"/>
      <c r="C65" s="1127"/>
      <c r="D65" s="1127"/>
      <c r="E65" s="1127"/>
      <c r="F65" s="1127"/>
      <c r="Y65" s="1155"/>
      <c r="AB65" s="1155"/>
      <c r="AC65" s="1155"/>
      <c r="AI65" s="1162"/>
      <c r="AJ65" s="1162"/>
      <c r="AK65" s="1165"/>
      <c r="AL65" s="1165"/>
      <c r="AM65" s="1162"/>
      <c r="AQ65" s="1162"/>
      <c r="AR65" s="1162"/>
      <c r="AS65" s="1165"/>
      <c r="AT65" s="1165"/>
      <c r="AU65" s="1162"/>
    </row>
    <row r="66" spans="1:47" hidden="1">
      <c r="A66" s="1127"/>
      <c r="C66" s="1127"/>
      <c r="D66" s="1127"/>
      <c r="E66" s="1127"/>
      <c r="F66" s="1127"/>
      <c r="Y66" s="1155"/>
      <c r="AB66" s="1155"/>
      <c r="AC66" s="1155"/>
      <c r="AI66" s="1162"/>
      <c r="AJ66" s="1162"/>
      <c r="AK66" s="85"/>
      <c r="AL66" s="85"/>
      <c r="AM66" s="1162"/>
      <c r="AQ66" s="1162"/>
      <c r="AR66" s="1162"/>
      <c r="AS66" s="85"/>
      <c r="AT66" s="85"/>
      <c r="AU66" s="1162"/>
    </row>
    <row r="67" spans="1:47" hidden="1">
      <c r="A67" s="1127"/>
      <c r="C67" s="1127"/>
      <c r="D67" s="1127"/>
      <c r="E67" s="1127"/>
      <c r="F67" s="1127"/>
      <c r="Y67" s="1155"/>
      <c r="AB67" s="1155"/>
      <c r="AC67" s="1155"/>
      <c r="AI67" s="1162"/>
      <c r="AJ67" s="1162"/>
      <c r="AK67" s="85"/>
      <c r="AL67" s="85"/>
      <c r="AM67" s="1162"/>
      <c r="AQ67" s="1162"/>
      <c r="AR67" s="1162"/>
      <c r="AS67" s="85"/>
      <c r="AT67" s="85"/>
      <c r="AU67" s="1162"/>
    </row>
    <row r="68" spans="1:47" hidden="1">
      <c r="AI68" s="1890"/>
      <c r="AJ68" s="1890"/>
      <c r="AK68" s="1890"/>
      <c r="AL68" s="1890"/>
      <c r="AM68" s="1890"/>
      <c r="AQ68" s="1890"/>
      <c r="AR68" s="1890"/>
      <c r="AS68" s="1890"/>
      <c r="AT68" s="1890"/>
      <c r="AU68" s="1890"/>
    </row>
    <row r="69" spans="1:47" hidden="1"/>
    <row r="70" spans="1:47" hidden="1"/>
    <row r="71" spans="1:47" hidden="1"/>
    <row r="80" spans="1:47">
      <c r="A80" s="1127"/>
      <c r="C80" s="1127"/>
      <c r="D80" s="1127"/>
      <c r="E80" s="1127"/>
      <c r="F80" s="1127"/>
      <c r="N80" s="1127"/>
      <c r="Y80" s="1127"/>
      <c r="AB80" s="1155"/>
      <c r="AC80" s="1155"/>
      <c r="AK80" s="1155"/>
      <c r="AS80" s="1127"/>
    </row>
    <row r="81" spans="28:37" s="1127" customFormat="1">
      <c r="AB81" s="1155"/>
      <c r="AC81" s="1155"/>
      <c r="AJ81" s="1155"/>
      <c r="AK81" s="1155"/>
    </row>
    <row r="82" spans="28:37" s="1127" customFormat="1">
      <c r="AB82" s="1155"/>
      <c r="AC82" s="1155"/>
      <c r="AJ82" s="1155"/>
      <c r="AK82" s="1155"/>
    </row>
    <row r="83" spans="28:37" s="1127" customFormat="1">
      <c r="AB83" s="1155"/>
      <c r="AC83" s="1155"/>
      <c r="AJ83" s="1155"/>
      <c r="AK83" s="1155"/>
    </row>
    <row r="84" spans="28:37" s="1127" customFormat="1">
      <c r="AB84" s="1155"/>
      <c r="AC84" s="1155"/>
      <c r="AJ84" s="1155"/>
      <c r="AK84" s="1155"/>
    </row>
    <row r="85" spans="28:37" s="1127" customFormat="1">
      <c r="AB85" s="1155"/>
      <c r="AC85" s="1155"/>
      <c r="AJ85" s="1155"/>
      <c r="AK85" s="1155"/>
    </row>
    <row r="86" spans="28:37" s="1127" customFormat="1">
      <c r="AB86" s="1155"/>
      <c r="AC86" s="1155"/>
      <c r="AJ86" s="1155"/>
      <c r="AK86" s="1155"/>
    </row>
    <row r="87" spans="28:37" s="1127" customFormat="1">
      <c r="AB87" s="1155"/>
      <c r="AC87" s="1155"/>
      <c r="AJ87" s="1155"/>
      <c r="AK87" s="1155"/>
    </row>
    <row r="88" spans="28:37" s="1127" customFormat="1">
      <c r="AB88" s="1155"/>
      <c r="AC88" s="1155"/>
      <c r="AJ88" s="1155"/>
      <c r="AK88" s="1155"/>
    </row>
    <row r="89" spans="28:37" s="1127" customFormat="1">
      <c r="AB89" s="1155"/>
      <c r="AC89" s="1155"/>
      <c r="AJ89" s="1155"/>
      <c r="AK89" s="1155"/>
    </row>
    <row r="90" spans="28:37" s="1127" customFormat="1">
      <c r="AB90" s="1155"/>
      <c r="AC90" s="1155"/>
      <c r="AJ90" s="1155"/>
      <c r="AK90" s="1155"/>
    </row>
    <row r="91" spans="28:37" s="1127" customFormat="1">
      <c r="AB91" s="1155"/>
      <c r="AC91" s="1155"/>
      <c r="AJ91" s="1155"/>
      <c r="AK91" s="1155"/>
    </row>
    <row r="92" spans="28:37" s="1127" customFormat="1">
      <c r="AB92" s="1155"/>
      <c r="AC92" s="1155"/>
      <c r="AJ92" s="1155"/>
      <c r="AK92" s="1155"/>
    </row>
    <row r="93" spans="28:37" s="1127" customFormat="1">
      <c r="AB93" s="1155"/>
      <c r="AC93" s="1155"/>
      <c r="AJ93" s="1155"/>
      <c r="AK93" s="1155"/>
    </row>
    <row r="94" spans="28:37" s="1127" customFormat="1">
      <c r="AB94" s="1155"/>
      <c r="AC94" s="1155"/>
      <c r="AJ94" s="1155"/>
      <c r="AK94" s="1155"/>
    </row>
    <row r="95" spans="28:37" s="1127" customFormat="1">
      <c r="AB95" s="1155"/>
      <c r="AC95" s="1155"/>
      <c r="AJ95" s="1155"/>
      <c r="AK95" s="1155"/>
    </row>
    <row r="96" spans="28:37" s="1127" customFormat="1">
      <c r="AB96" s="1155"/>
      <c r="AC96" s="1155"/>
      <c r="AJ96" s="1155"/>
      <c r="AK96" s="1155"/>
    </row>
    <row r="97" spans="28:37" s="1127" customFormat="1">
      <c r="AB97" s="1155"/>
      <c r="AC97" s="1155"/>
      <c r="AJ97" s="1155"/>
      <c r="AK97" s="1155"/>
    </row>
    <row r="98" spans="28:37" s="1127" customFormat="1">
      <c r="AB98" s="1155"/>
      <c r="AC98" s="1155"/>
      <c r="AJ98" s="1155"/>
      <c r="AK98" s="1155"/>
    </row>
    <row r="99" spans="28:37" s="1127" customFormat="1">
      <c r="AB99" s="1155"/>
      <c r="AC99" s="1155"/>
      <c r="AJ99" s="1155"/>
      <c r="AK99" s="1155"/>
    </row>
    <row r="100" spans="28:37" s="1127" customFormat="1">
      <c r="AB100" s="1155"/>
      <c r="AC100" s="1155"/>
      <c r="AJ100" s="1155"/>
      <c r="AK100" s="1155"/>
    </row>
    <row r="101" spans="28:37" s="1127" customFormat="1">
      <c r="AB101" s="1155"/>
      <c r="AC101" s="1155"/>
      <c r="AJ101" s="1155"/>
      <c r="AK101" s="1155"/>
    </row>
    <row r="102" spans="28:37" s="1127" customFormat="1">
      <c r="AB102" s="1155"/>
      <c r="AC102" s="1155"/>
      <c r="AJ102" s="1155"/>
      <c r="AK102" s="1155"/>
    </row>
    <row r="103" spans="28:37" s="1127" customFormat="1">
      <c r="AB103" s="1155"/>
      <c r="AC103" s="1155"/>
      <c r="AJ103" s="1155"/>
      <c r="AK103" s="1155"/>
    </row>
    <row r="104" spans="28:37" s="1127" customFormat="1">
      <c r="AB104" s="1155"/>
      <c r="AC104" s="1155"/>
      <c r="AJ104" s="1155"/>
      <c r="AK104" s="1155"/>
    </row>
    <row r="105" spans="28:37" s="1127" customFormat="1">
      <c r="AB105" s="1155"/>
      <c r="AC105" s="1155"/>
      <c r="AJ105" s="1155"/>
      <c r="AK105" s="1155"/>
    </row>
    <row r="106" spans="28:37" s="1127" customFormat="1">
      <c r="AB106" s="1155"/>
      <c r="AC106" s="1155"/>
      <c r="AJ106" s="1155"/>
      <c r="AK106" s="1155"/>
    </row>
    <row r="107" spans="28:37" s="1127" customFormat="1">
      <c r="AB107" s="1155"/>
      <c r="AC107" s="1155"/>
      <c r="AJ107" s="1155"/>
      <c r="AK107" s="1155"/>
    </row>
    <row r="108" spans="28:37" s="1127" customFormat="1">
      <c r="AB108" s="1155"/>
      <c r="AC108" s="1155"/>
      <c r="AJ108" s="1155"/>
      <c r="AK108" s="1155"/>
    </row>
    <row r="109" spans="28:37" s="1127" customFormat="1">
      <c r="AB109" s="1155"/>
      <c r="AC109" s="1155"/>
      <c r="AJ109" s="1155"/>
      <c r="AK109" s="1155"/>
    </row>
    <row r="110" spans="28:37" s="1127" customFormat="1">
      <c r="AB110" s="1155"/>
      <c r="AC110" s="1155"/>
      <c r="AJ110" s="1155"/>
      <c r="AK110" s="1155"/>
    </row>
    <row r="111" spans="28:37" s="1127" customFormat="1">
      <c r="AB111" s="1155"/>
      <c r="AC111" s="1155"/>
      <c r="AJ111" s="1155"/>
      <c r="AK111" s="1155"/>
    </row>
    <row r="112" spans="28:37" s="1127" customFormat="1">
      <c r="AB112" s="1155"/>
      <c r="AC112" s="1155"/>
      <c r="AJ112" s="1155"/>
      <c r="AK112" s="1155"/>
    </row>
    <row r="113" spans="28:37" s="1127" customFormat="1">
      <c r="AB113" s="1155"/>
      <c r="AC113" s="1155"/>
      <c r="AJ113" s="1155"/>
      <c r="AK113" s="1155"/>
    </row>
    <row r="114" spans="28:37" s="1127" customFormat="1">
      <c r="AB114" s="1155"/>
      <c r="AC114" s="1155"/>
      <c r="AJ114" s="1155"/>
      <c r="AK114" s="1155"/>
    </row>
    <row r="115" spans="28:37" s="1127" customFormat="1">
      <c r="AB115" s="1155"/>
      <c r="AC115" s="1155"/>
      <c r="AJ115" s="1155"/>
      <c r="AK115" s="1155"/>
    </row>
    <row r="116" spans="28:37" s="1127" customFormat="1">
      <c r="AB116" s="1155"/>
      <c r="AC116" s="1155"/>
      <c r="AJ116" s="1155"/>
      <c r="AK116" s="1155"/>
    </row>
    <row r="117" spans="28:37" s="1127" customFormat="1">
      <c r="AB117" s="1155"/>
      <c r="AC117" s="1155"/>
      <c r="AJ117" s="1155"/>
      <c r="AK117" s="1155"/>
    </row>
    <row r="118" spans="28:37" s="1127" customFormat="1">
      <c r="AB118" s="1155"/>
      <c r="AC118" s="1155"/>
      <c r="AJ118" s="1155"/>
      <c r="AK118" s="1155"/>
    </row>
    <row r="119" spans="28:37" s="1127" customFormat="1">
      <c r="AB119" s="1155"/>
      <c r="AC119" s="1155"/>
      <c r="AJ119" s="1155"/>
      <c r="AK119" s="1155"/>
    </row>
    <row r="120" spans="28:37" s="1127" customFormat="1">
      <c r="AB120" s="1155"/>
      <c r="AC120" s="1155"/>
      <c r="AJ120" s="1155"/>
      <c r="AK120" s="1155"/>
    </row>
    <row r="121" spans="28:37" s="1127" customFormat="1">
      <c r="AB121" s="1155"/>
      <c r="AC121" s="1155"/>
      <c r="AJ121" s="1155"/>
      <c r="AK121" s="1155"/>
    </row>
    <row r="122" spans="28:37" s="1127" customFormat="1">
      <c r="AB122" s="1155"/>
      <c r="AC122" s="1155"/>
      <c r="AJ122" s="1155"/>
      <c r="AK122" s="1155"/>
    </row>
    <row r="123" spans="28:37" s="1127" customFormat="1">
      <c r="AB123" s="1155"/>
      <c r="AC123" s="1155"/>
      <c r="AJ123" s="1155"/>
      <c r="AK123" s="1155"/>
    </row>
    <row r="124" spans="28:37" s="1127" customFormat="1">
      <c r="AB124" s="1155"/>
      <c r="AC124" s="1155"/>
      <c r="AJ124" s="1155"/>
      <c r="AK124" s="1155"/>
    </row>
    <row r="125" spans="28:37" s="1127" customFormat="1">
      <c r="AB125" s="1155"/>
      <c r="AC125" s="1155"/>
      <c r="AJ125" s="1155"/>
      <c r="AK125" s="1155"/>
    </row>
    <row r="126" spans="28:37" s="1127" customFormat="1">
      <c r="AB126" s="1155"/>
      <c r="AC126" s="1155"/>
      <c r="AJ126" s="1155"/>
      <c r="AK126" s="1155"/>
    </row>
    <row r="127" spans="28:37" s="1127" customFormat="1">
      <c r="AB127" s="1155"/>
      <c r="AC127" s="1155"/>
      <c r="AJ127" s="1155"/>
      <c r="AK127" s="1155"/>
    </row>
    <row r="128" spans="28:37" s="1127" customFormat="1">
      <c r="AB128" s="1155"/>
      <c r="AC128" s="1155"/>
      <c r="AJ128" s="1155"/>
      <c r="AK128" s="1155"/>
    </row>
    <row r="129" spans="28:37" s="1127" customFormat="1">
      <c r="AB129" s="1155"/>
      <c r="AC129" s="1155"/>
      <c r="AJ129" s="1155"/>
      <c r="AK129" s="1155"/>
    </row>
    <row r="130" spans="28:37" s="1127" customFormat="1">
      <c r="AB130" s="1155"/>
      <c r="AC130" s="1155"/>
      <c r="AJ130" s="1155"/>
      <c r="AK130" s="1155"/>
    </row>
    <row r="131" spans="28:37" s="1127" customFormat="1">
      <c r="AB131" s="1155"/>
      <c r="AC131" s="1155"/>
      <c r="AJ131" s="1155"/>
      <c r="AK131" s="1155"/>
    </row>
    <row r="132" spans="28:37" s="1127" customFormat="1">
      <c r="AB132" s="1155"/>
      <c r="AC132" s="1155"/>
      <c r="AJ132" s="1155"/>
      <c r="AK132" s="1155"/>
    </row>
    <row r="133" spans="28:37" s="1127" customFormat="1">
      <c r="AB133" s="1155"/>
      <c r="AC133" s="1155"/>
      <c r="AJ133" s="1155"/>
      <c r="AK133" s="1155"/>
    </row>
    <row r="134" spans="28:37" s="1127" customFormat="1">
      <c r="AB134" s="1155"/>
      <c r="AC134" s="1155"/>
      <c r="AJ134" s="1155"/>
      <c r="AK134" s="1155"/>
    </row>
    <row r="135" spans="28:37" s="1127" customFormat="1">
      <c r="AB135" s="1155"/>
      <c r="AC135" s="1155"/>
      <c r="AJ135" s="1155"/>
      <c r="AK135" s="1155"/>
    </row>
    <row r="136" spans="28:37" s="1127" customFormat="1">
      <c r="AB136" s="1155"/>
      <c r="AC136" s="1155"/>
      <c r="AJ136" s="1155"/>
      <c r="AK136" s="1155"/>
    </row>
    <row r="137" spans="28:37" s="1127" customFormat="1">
      <c r="AB137" s="1155"/>
      <c r="AC137" s="1155"/>
      <c r="AJ137" s="1155"/>
      <c r="AK137" s="1155"/>
    </row>
    <row r="138" spans="28:37" s="1127" customFormat="1">
      <c r="AB138" s="1155"/>
      <c r="AC138" s="1155"/>
      <c r="AJ138" s="1155"/>
      <c r="AK138" s="1155"/>
    </row>
    <row r="139" spans="28:37" s="1127" customFormat="1">
      <c r="AB139" s="1155"/>
      <c r="AC139" s="1155"/>
      <c r="AJ139" s="1155"/>
      <c r="AK139" s="1155"/>
    </row>
    <row r="140" spans="28:37" s="1127" customFormat="1">
      <c r="AB140" s="1155"/>
      <c r="AC140" s="1155"/>
      <c r="AJ140" s="1155"/>
      <c r="AK140" s="1155"/>
    </row>
    <row r="141" spans="28:37" s="1127" customFormat="1">
      <c r="AB141" s="1155"/>
      <c r="AC141" s="1155"/>
      <c r="AJ141" s="1155"/>
      <c r="AK141" s="1155"/>
    </row>
    <row r="142" spans="28:37" s="1127" customFormat="1">
      <c r="AB142" s="1155"/>
      <c r="AC142" s="1155"/>
      <c r="AJ142" s="1155"/>
      <c r="AK142" s="1155"/>
    </row>
    <row r="143" spans="28:37" s="1127" customFormat="1">
      <c r="AB143" s="1155"/>
      <c r="AC143" s="1155"/>
      <c r="AJ143" s="1155"/>
      <c r="AK143" s="1155"/>
    </row>
    <row r="144" spans="28:37" s="1127" customFormat="1">
      <c r="AB144" s="1155"/>
      <c r="AC144" s="1155"/>
      <c r="AJ144" s="1155"/>
      <c r="AK144" s="1155"/>
    </row>
    <row r="145" spans="28:37" s="1127" customFormat="1">
      <c r="AB145" s="1155"/>
      <c r="AC145" s="1155"/>
      <c r="AJ145" s="1155"/>
      <c r="AK145" s="1155"/>
    </row>
    <row r="146" spans="28:37" s="1127" customFormat="1">
      <c r="AB146" s="1155"/>
      <c r="AC146" s="1155"/>
      <c r="AJ146" s="1155"/>
      <c r="AK146" s="1155"/>
    </row>
    <row r="147" spans="28:37" s="1127" customFormat="1">
      <c r="AB147" s="1155"/>
      <c r="AC147" s="1155"/>
      <c r="AJ147" s="1155"/>
      <c r="AK147" s="1155"/>
    </row>
    <row r="148" spans="28:37" s="1127" customFormat="1">
      <c r="AB148" s="1155"/>
      <c r="AC148" s="1155"/>
      <c r="AJ148" s="1155"/>
      <c r="AK148" s="1155"/>
    </row>
    <row r="149" spans="28:37" s="1127" customFormat="1">
      <c r="AB149" s="1155"/>
      <c r="AC149" s="1155"/>
      <c r="AJ149" s="1155"/>
      <c r="AK149" s="1155"/>
    </row>
    <row r="150" spans="28:37" s="1127" customFormat="1">
      <c r="AB150" s="1155"/>
      <c r="AC150" s="1155"/>
      <c r="AJ150" s="1155"/>
      <c r="AK150" s="1155"/>
    </row>
    <row r="151" spans="28:37" s="1127" customFormat="1">
      <c r="AB151" s="1155"/>
      <c r="AC151" s="1155"/>
      <c r="AJ151" s="1155"/>
      <c r="AK151" s="1155"/>
    </row>
    <row r="152" spans="28:37" s="1127" customFormat="1">
      <c r="AB152" s="1155"/>
      <c r="AC152" s="1155"/>
      <c r="AJ152" s="1155"/>
      <c r="AK152" s="1155"/>
    </row>
    <row r="153" spans="28:37" s="1127" customFormat="1">
      <c r="AB153" s="1155"/>
      <c r="AC153" s="1155"/>
      <c r="AJ153" s="1155"/>
      <c r="AK153" s="1155"/>
    </row>
    <row r="154" spans="28:37" s="1127" customFormat="1">
      <c r="AB154" s="1155"/>
      <c r="AC154" s="1155"/>
      <c r="AJ154" s="1155"/>
      <c r="AK154" s="1155"/>
    </row>
    <row r="155" spans="28:37" s="1127" customFormat="1">
      <c r="AB155" s="1155"/>
      <c r="AC155" s="1155"/>
      <c r="AJ155" s="1155"/>
      <c r="AK155" s="1155"/>
    </row>
    <row r="156" spans="28:37" s="1127" customFormat="1">
      <c r="AB156" s="1155"/>
      <c r="AC156" s="1155"/>
      <c r="AJ156" s="1155"/>
      <c r="AK156" s="1155"/>
    </row>
    <row r="157" spans="28:37" s="1127" customFormat="1">
      <c r="AB157" s="1155"/>
      <c r="AC157" s="1155"/>
      <c r="AJ157" s="1155"/>
      <c r="AK157" s="1155"/>
    </row>
    <row r="158" spans="28:37" s="1127" customFormat="1">
      <c r="AB158" s="1155"/>
      <c r="AC158" s="1155"/>
      <c r="AJ158" s="1155"/>
      <c r="AK158" s="1155"/>
    </row>
    <row r="159" spans="28:37" s="1127" customFormat="1">
      <c r="AB159" s="1155"/>
      <c r="AC159" s="1155"/>
      <c r="AJ159" s="1155"/>
      <c r="AK159" s="1155"/>
    </row>
    <row r="160" spans="28:37" s="1127" customFormat="1">
      <c r="AB160" s="1155"/>
      <c r="AC160" s="1155"/>
      <c r="AJ160" s="1155"/>
      <c r="AK160" s="1155"/>
    </row>
    <row r="161" spans="28:37" s="1127" customFormat="1">
      <c r="AB161" s="1155"/>
      <c r="AC161" s="1155"/>
      <c r="AJ161" s="1155"/>
      <c r="AK161" s="1155"/>
    </row>
    <row r="162" spans="28:37" s="1127" customFormat="1">
      <c r="AB162" s="1155"/>
      <c r="AC162" s="1155"/>
      <c r="AJ162" s="1155"/>
      <c r="AK162" s="1155"/>
    </row>
    <row r="163" spans="28:37" s="1127" customFormat="1">
      <c r="AB163" s="1155"/>
      <c r="AC163" s="1155"/>
      <c r="AJ163" s="1155"/>
      <c r="AK163" s="1155"/>
    </row>
    <row r="164" spans="28:37" s="1127" customFormat="1">
      <c r="AB164" s="1155"/>
      <c r="AC164" s="1155"/>
      <c r="AJ164" s="1155"/>
      <c r="AK164" s="1155"/>
    </row>
    <row r="165" spans="28:37" s="1127" customFormat="1">
      <c r="AB165" s="1155"/>
      <c r="AC165" s="1155"/>
      <c r="AJ165" s="1155"/>
      <c r="AK165" s="1155"/>
    </row>
    <row r="166" spans="28:37" s="1127" customFormat="1">
      <c r="AB166" s="1155"/>
      <c r="AC166" s="1155"/>
      <c r="AJ166" s="1155"/>
      <c r="AK166" s="1155"/>
    </row>
    <row r="167" spans="28:37" s="1127" customFormat="1">
      <c r="AB167" s="1155"/>
      <c r="AC167" s="1155"/>
      <c r="AJ167" s="1155"/>
      <c r="AK167" s="1155"/>
    </row>
    <row r="168" spans="28:37" s="1127" customFormat="1">
      <c r="AB168" s="1155"/>
      <c r="AC168" s="1155"/>
      <c r="AJ168" s="1155"/>
      <c r="AK168" s="1155"/>
    </row>
    <row r="169" spans="28:37" s="1127" customFormat="1">
      <c r="AB169" s="1155"/>
      <c r="AC169" s="1155"/>
      <c r="AJ169" s="1155"/>
      <c r="AK169" s="1155"/>
    </row>
    <row r="170" spans="28:37" s="1127" customFormat="1">
      <c r="AB170" s="1155"/>
      <c r="AC170" s="1155"/>
      <c r="AJ170" s="1155"/>
      <c r="AK170" s="1155"/>
    </row>
    <row r="171" spans="28:37" s="1127" customFormat="1">
      <c r="AB171" s="1155"/>
      <c r="AC171" s="1155"/>
      <c r="AJ171" s="1155"/>
      <c r="AK171" s="1155"/>
    </row>
    <row r="172" spans="28:37" s="1127" customFormat="1">
      <c r="AB172" s="1155"/>
      <c r="AC172" s="1155"/>
      <c r="AJ172" s="1155"/>
      <c r="AK172" s="1155"/>
    </row>
    <row r="173" spans="28:37" s="1127" customFormat="1">
      <c r="AB173" s="1155"/>
      <c r="AC173" s="1155"/>
      <c r="AJ173" s="1155"/>
      <c r="AK173" s="1155"/>
    </row>
    <row r="174" spans="28:37" s="1127" customFormat="1">
      <c r="AB174" s="1155"/>
      <c r="AC174" s="1155"/>
      <c r="AJ174" s="1155"/>
      <c r="AK174" s="1155"/>
    </row>
    <row r="175" spans="28:37" s="1127" customFormat="1">
      <c r="AB175" s="1155"/>
      <c r="AC175" s="1155"/>
      <c r="AJ175" s="1155"/>
      <c r="AK175" s="1155"/>
    </row>
    <row r="176" spans="28:37" s="1127" customFormat="1">
      <c r="AB176" s="1155"/>
      <c r="AC176" s="1155"/>
      <c r="AJ176" s="1155"/>
      <c r="AK176" s="1155"/>
    </row>
    <row r="177" spans="28:37" s="1127" customFormat="1">
      <c r="AB177" s="1155"/>
      <c r="AC177" s="1155"/>
      <c r="AJ177" s="1155"/>
      <c r="AK177" s="1155"/>
    </row>
    <row r="178" spans="28:37" s="1127" customFormat="1">
      <c r="AB178" s="1155"/>
      <c r="AC178" s="1155"/>
      <c r="AJ178" s="1155"/>
      <c r="AK178" s="1155"/>
    </row>
    <row r="179" spans="28:37" s="1127" customFormat="1">
      <c r="AB179" s="1155"/>
      <c r="AC179" s="1155"/>
      <c r="AJ179" s="1155"/>
      <c r="AK179" s="1155"/>
    </row>
    <row r="180" spans="28:37" s="1127" customFormat="1">
      <c r="AB180" s="1155"/>
      <c r="AC180" s="1155"/>
      <c r="AJ180" s="1155"/>
      <c r="AK180" s="1155"/>
    </row>
    <row r="181" spans="28:37" s="1127" customFormat="1">
      <c r="AB181" s="1155"/>
      <c r="AC181" s="1155"/>
      <c r="AJ181" s="1155"/>
      <c r="AK181" s="1155"/>
    </row>
    <row r="182" spans="28:37" s="1127" customFormat="1">
      <c r="AB182" s="1155"/>
      <c r="AC182" s="1155"/>
      <c r="AJ182" s="1155"/>
      <c r="AK182" s="1155"/>
    </row>
    <row r="183" spans="28:37" s="1127" customFormat="1">
      <c r="AB183" s="1155"/>
      <c r="AC183" s="1155"/>
      <c r="AJ183" s="1155"/>
      <c r="AK183" s="1155"/>
    </row>
    <row r="184" spans="28:37" s="1127" customFormat="1">
      <c r="AB184" s="1155"/>
      <c r="AC184" s="1155"/>
      <c r="AJ184" s="1155"/>
      <c r="AK184" s="1155"/>
    </row>
    <row r="185" spans="28:37" s="1127" customFormat="1">
      <c r="AB185" s="1155"/>
      <c r="AC185" s="1155"/>
      <c r="AJ185" s="1155"/>
      <c r="AK185" s="1155"/>
    </row>
    <row r="186" spans="28:37" s="1127" customFormat="1">
      <c r="AB186" s="1155"/>
      <c r="AC186" s="1155"/>
      <c r="AJ186" s="1155"/>
      <c r="AK186" s="1155"/>
    </row>
    <row r="187" spans="28:37" s="1127" customFormat="1">
      <c r="AB187" s="1155"/>
      <c r="AC187" s="1155"/>
      <c r="AJ187" s="1155"/>
      <c r="AK187" s="1155"/>
    </row>
    <row r="188" spans="28:37" s="1127" customFormat="1">
      <c r="AB188" s="1155"/>
      <c r="AC188" s="1155"/>
      <c r="AJ188" s="1155"/>
      <c r="AK188" s="1155"/>
    </row>
    <row r="189" spans="28:37" s="1127" customFormat="1">
      <c r="AB189" s="1155"/>
      <c r="AC189" s="1155"/>
      <c r="AJ189" s="1155"/>
      <c r="AK189" s="1155"/>
    </row>
    <row r="190" spans="28:37" s="1127" customFormat="1">
      <c r="AB190" s="1155"/>
      <c r="AC190" s="1155"/>
      <c r="AJ190" s="1155"/>
      <c r="AK190" s="1155"/>
    </row>
    <row r="191" spans="28:37" s="1127" customFormat="1">
      <c r="AB191" s="1155"/>
      <c r="AC191" s="1155"/>
      <c r="AJ191" s="1155"/>
      <c r="AK191" s="1155"/>
    </row>
    <row r="192" spans="28:37" s="1127" customFormat="1">
      <c r="AB192" s="1155"/>
      <c r="AC192" s="1155"/>
      <c r="AJ192" s="1155"/>
      <c r="AK192" s="1155"/>
    </row>
    <row r="193" spans="28:37" s="1127" customFormat="1">
      <c r="AB193" s="1155"/>
      <c r="AC193" s="1155"/>
      <c r="AJ193" s="1155"/>
      <c r="AK193" s="1155"/>
    </row>
    <row r="194" spans="28:37" s="1127" customFormat="1">
      <c r="AB194" s="1155"/>
      <c r="AC194" s="1155"/>
      <c r="AJ194" s="1155"/>
      <c r="AK194" s="1155"/>
    </row>
    <row r="195" spans="28:37" s="1127" customFormat="1">
      <c r="AB195" s="1155"/>
      <c r="AC195" s="1155"/>
      <c r="AJ195" s="1155"/>
      <c r="AK195" s="1155"/>
    </row>
    <row r="196" spans="28:37" s="1127" customFormat="1">
      <c r="AB196" s="1155"/>
      <c r="AC196" s="1155"/>
      <c r="AJ196" s="1155"/>
      <c r="AK196" s="1155"/>
    </row>
    <row r="197" spans="28:37" s="1127" customFormat="1">
      <c r="AB197" s="1155"/>
      <c r="AC197" s="1155"/>
      <c r="AJ197" s="1155"/>
      <c r="AK197" s="1155"/>
    </row>
    <row r="198" spans="28:37" s="1127" customFormat="1">
      <c r="AB198" s="1155"/>
      <c r="AC198" s="1155"/>
      <c r="AJ198" s="1155"/>
      <c r="AK198" s="1155"/>
    </row>
    <row r="199" spans="28:37" s="1127" customFormat="1">
      <c r="AB199" s="1155"/>
      <c r="AC199" s="1155"/>
      <c r="AJ199" s="1155"/>
      <c r="AK199" s="1155"/>
    </row>
    <row r="200" spans="28:37" s="1127" customFormat="1">
      <c r="AB200" s="1155"/>
      <c r="AC200" s="1155"/>
      <c r="AJ200" s="1155"/>
      <c r="AK200" s="1155"/>
    </row>
    <row r="201" spans="28:37" s="1127" customFormat="1">
      <c r="AB201" s="1155"/>
      <c r="AC201" s="1155"/>
      <c r="AJ201" s="1155"/>
      <c r="AK201" s="1155"/>
    </row>
    <row r="202" spans="28:37" s="1127" customFormat="1">
      <c r="AB202" s="1155"/>
      <c r="AC202" s="1155"/>
      <c r="AJ202" s="1155"/>
      <c r="AK202" s="1155"/>
    </row>
    <row r="203" spans="28:37" s="1127" customFormat="1">
      <c r="AB203" s="1155"/>
      <c r="AC203" s="1155"/>
      <c r="AJ203" s="1155"/>
      <c r="AK203" s="1155"/>
    </row>
    <row r="204" spans="28:37" s="1127" customFormat="1">
      <c r="AB204" s="1155"/>
      <c r="AC204" s="1155"/>
      <c r="AJ204" s="1155"/>
      <c r="AK204" s="1155"/>
    </row>
    <row r="205" spans="28:37" s="1127" customFormat="1">
      <c r="AB205" s="1155"/>
      <c r="AC205" s="1155"/>
      <c r="AJ205" s="1155"/>
      <c r="AK205" s="1155"/>
    </row>
    <row r="208" spans="28:37" s="1127" customFormat="1">
      <c r="AB208" s="1155"/>
      <c r="AC208" s="1155"/>
      <c r="AJ208" s="1155"/>
      <c r="AK208" s="1155"/>
    </row>
    <row r="209" spans="28:37" s="1127" customFormat="1">
      <c r="AB209" s="1155"/>
      <c r="AC209" s="1155"/>
      <c r="AJ209" s="1155"/>
      <c r="AK209" s="1155"/>
    </row>
    <row r="210" spans="28:37" s="1127" customFormat="1">
      <c r="AB210" s="1155"/>
      <c r="AC210" s="1155"/>
      <c r="AJ210" s="1155"/>
      <c r="AK210" s="1155"/>
    </row>
    <row r="211" spans="28:37" s="1127" customFormat="1">
      <c r="AB211" s="1155"/>
      <c r="AC211" s="1155"/>
      <c r="AJ211" s="1155"/>
      <c r="AK211" s="1155"/>
    </row>
    <row r="212" spans="28:37" s="1127" customFormat="1">
      <c r="AB212" s="1155"/>
      <c r="AC212" s="1155"/>
      <c r="AJ212" s="1155"/>
      <c r="AK212" s="1155"/>
    </row>
    <row r="213" spans="28:37" s="1127" customFormat="1">
      <c r="AB213" s="1155"/>
      <c r="AC213" s="1155"/>
      <c r="AJ213" s="1155"/>
      <c r="AK213" s="1155"/>
    </row>
    <row r="214" spans="28:37" s="1127" customFormat="1">
      <c r="AB214" s="1155"/>
      <c r="AC214" s="1155"/>
      <c r="AJ214" s="1155"/>
      <c r="AK214" s="1155"/>
    </row>
    <row r="215" spans="28:37" s="1127" customFormat="1">
      <c r="AB215" s="1155"/>
      <c r="AC215" s="1155"/>
      <c r="AJ215" s="1155"/>
      <c r="AK215" s="1155"/>
    </row>
    <row r="216" spans="28:37" s="1127" customFormat="1">
      <c r="AB216" s="1155"/>
      <c r="AC216" s="1155"/>
      <c r="AJ216" s="1155"/>
      <c r="AK216" s="1155"/>
    </row>
    <row r="217" spans="28:37" s="1127" customFormat="1">
      <c r="AB217" s="1155"/>
      <c r="AC217" s="1155"/>
      <c r="AJ217" s="1155"/>
      <c r="AK217" s="1155"/>
    </row>
    <row r="218" spans="28:37" s="1127" customFormat="1">
      <c r="AB218" s="1155"/>
      <c r="AC218" s="1155"/>
      <c r="AJ218" s="1155"/>
      <c r="AK218" s="1155"/>
    </row>
    <row r="219" spans="28:37" s="1127" customFormat="1">
      <c r="AB219" s="1155"/>
      <c r="AC219" s="1155"/>
      <c r="AJ219" s="1155"/>
      <c r="AK219" s="1155"/>
    </row>
    <row r="220" spans="28:37" s="1127" customFormat="1">
      <c r="AB220" s="1155"/>
      <c r="AC220" s="1155"/>
      <c r="AJ220" s="1155"/>
      <c r="AK220" s="1155"/>
    </row>
    <row r="221" spans="28:37" s="1127" customFormat="1">
      <c r="AB221" s="1155"/>
      <c r="AC221" s="1155"/>
      <c r="AJ221" s="1155"/>
      <c r="AK221" s="1155"/>
    </row>
    <row r="222" spans="28:37" s="1127" customFormat="1">
      <c r="AB222" s="1155"/>
      <c r="AC222" s="1155"/>
      <c r="AJ222" s="1155"/>
      <c r="AK222" s="1155"/>
    </row>
    <row r="223" spans="28:37" s="1127" customFormat="1">
      <c r="AB223" s="1155"/>
      <c r="AC223" s="1155"/>
      <c r="AJ223" s="1155"/>
      <c r="AK223" s="1155"/>
    </row>
    <row r="224" spans="28:37" s="1127" customFormat="1">
      <c r="AB224" s="1155"/>
      <c r="AC224" s="1155"/>
      <c r="AJ224" s="1155"/>
      <c r="AK224" s="1155"/>
    </row>
    <row r="225" spans="28:37" s="1127" customFormat="1">
      <c r="AB225" s="1155"/>
      <c r="AC225" s="1155"/>
      <c r="AJ225" s="1155"/>
      <c r="AK225" s="1155"/>
    </row>
    <row r="226" spans="28:37" s="1127" customFormat="1">
      <c r="AB226" s="1155"/>
      <c r="AC226" s="1155"/>
      <c r="AJ226" s="1155"/>
      <c r="AK226" s="1155"/>
    </row>
    <row r="227" spans="28:37" s="1127" customFormat="1">
      <c r="AB227" s="1155"/>
      <c r="AC227" s="1155"/>
      <c r="AJ227" s="1155"/>
      <c r="AK227" s="1155"/>
    </row>
    <row r="228" spans="28:37" s="1127" customFormat="1">
      <c r="AB228" s="1155"/>
      <c r="AC228" s="1155"/>
      <c r="AJ228" s="1155"/>
      <c r="AK228" s="1155"/>
    </row>
    <row r="229" spans="28:37" s="1127" customFormat="1">
      <c r="AB229" s="1155"/>
      <c r="AC229" s="1155"/>
      <c r="AJ229" s="1155"/>
      <c r="AK229" s="1155"/>
    </row>
    <row r="230" spans="28:37" s="1127" customFormat="1">
      <c r="AB230" s="1155"/>
      <c r="AC230" s="1155"/>
      <c r="AJ230" s="1155"/>
      <c r="AK230" s="1155"/>
    </row>
    <row r="231" spans="28:37" s="1127" customFormat="1">
      <c r="AB231" s="1155"/>
      <c r="AC231" s="1155"/>
      <c r="AJ231" s="1155"/>
      <c r="AK231" s="1155"/>
    </row>
    <row r="232" spans="28:37" s="1127" customFormat="1">
      <c r="AB232" s="1155"/>
      <c r="AC232" s="1155"/>
      <c r="AJ232" s="1155"/>
      <c r="AK232" s="1155"/>
    </row>
    <row r="233" spans="28:37" s="1127" customFormat="1">
      <c r="AB233" s="1155"/>
      <c r="AC233" s="1155"/>
      <c r="AJ233" s="1155"/>
      <c r="AK233" s="1155"/>
    </row>
    <row r="234" spans="28:37" s="1127" customFormat="1">
      <c r="AB234" s="1155"/>
      <c r="AC234" s="1155"/>
      <c r="AJ234" s="1155"/>
      <c r="AK234" s="1155"/>
    </row>
    <row r="235" spans="28:37" s="1127" customFormat="1">
      <c r="AB235" s="1155"/>
      <c r="AC235" s="1155"/>
      <c r="AJ235" s="1155"/>
      <c r="AK235" s="1155"/>
    </row>
    <row r="236" spans="28:37" s="1127" customFormat="1">
      <c r="AB236" s="1155"/>
      <c r="AC236" s="1155"/>
      <c r="AJ236" s="1155"/>
      <c r="AK236" s="1155"/>
    </row>
    <row r="237" spans="28:37" s="1127" customFormat="1">
      <c r="AB237" s="1155"/>
      <c r="AC237" s="1155"/>
      <c r="AJ237" s="1155"/>
      <c r="AK237" s="1155"/>
    </row>
    <row r="238" spans="28:37" s="1127" customFormat="1">
      <c r="AB238" s="1155"/>
      <c r="AC238" s="1155"/>
      <c r="AJ238" s="1155"/>
      <c r="AK238" s="1155"/>
    </row>
    <row r="239" spans="28:37" s="1127" customFormat="1">
      <c r="AB239" s="1155"/>
      <c r="AC239" s="1155"/>
      <c r="AJ239" s="1155"/>
      <c r="AK239" s="1155"/>
    </row>
    <row r="240" spans="28:37" s="1127" customFormat="1">
      <c r="AB240" s="1155"/>
      <c r="AC240" s="1155"/>
      <c r="AJ240" s="1155"/>
      <c r="AK240" s="1155"/>
    </row>
    <row r="241" spans="28:37" s="1127" customFormat="1">
      <c r="AB241" s="1155"/>
      <c r="AC241" s="1155"/>
      <c r="AJ241" s="1155"/>
      <c r="AK241" s="1155"/>
    </row>
    <row r="242" spans="28:37" s="1127" customFormat="1">
      <c r="AB242" s="1155"/>
      <c r="AC242" s="1155"/>
      <c r="AJ242" s="1155"/>
      <c r="AK242" s="1155"/>
    </row>
    <row r="243" spans="28:37" s="1127" customFormat="1">
      <c r="AB243" s="1155"/>
      <c r="AC243" s="1155"/>
      <c r="AJ243" s="1155"/>
      <c r="AK243" s="1155"/>
    </row>
    <row r="244" spans="28:37" s="1127" customFormat="1">
      <c r="AB244" s="1155"/>
      <c r="AC244" s="1155"/>
      <c r="AJ244" s="1155"/>
      <c r="AK244" s="1155"/>
    </row>
    <row r="245" spans="28:37" s="1127" customFormat="1">
      <c r="AB245" s="1155"/>
      <c r="AC245" s="1155"/>
      <c r="AJ245" s="1155"/>
      <c r="AK245" s="1155"/>
    </row>
    <row r="246" spans="28:37" s="1127" customFormat="1">
      <c r="AB246" s="1155"/>
      <c r="AC246" s="1155"/>
      <c r="AJ246" s="1155"/>
      <c r="AK246" s="1155"/>
    </row>
    <row r="247" spans="28:37" s="1127" customFormat="1">
      <c r="AB247" s="1155"/>
      <c r="AC247" s="1155"/>
      <c r="AJ247" s="1155"/>
      <c r="AK247" s="1155"/>
    </row>
    <row r="248" spans="28:37" s="1127" customFormat="1">
      <c r="AB248" s="1155"/>
      <c r="AC248" s="1155"/>
      <c r="AJ248" s="1155"/>
      <c r="AK248" s="1155"/>
    </row>
    <row r="249" spans="28:37" s="1127" customFormat="1">
      <c r="AB249" s="1155"/>
      <c r="AC249" s="1155"/>
      <c r="AJ249" s="1155"/>
      <c r="AK249" s="1155"/>
    </row>
    <row r="250" spans="28:37" s="1127" customFormat="1">
      <c r="AB250" s="1155"/>
      <c r="AC250" s="1155"/>
      <c r="AJ250" s="1155"/>
      <c r="AK250" s="1155"/>
    </row>
    <row r="251" spans="28:37" s="1127" customFormat="1">
      <c r="AB251" s="1155"/>
      <c r="AC251" s="1155"/>
      <c r="AJ251" s="1155"/>
      <c r="AK251" s="1155"/>
    </row>
    <row r="252" spans="28:37" s="1127" customFormat="1">
      <c r="AB252" s="1155"/>
      <c r="AC252" s="1155"/>
      <c r="AJ252" s="1155"/>
      <c r="AK252" s="1155"/>
    </row>
    <row r="253" spans="28:37" s="1127" customFormat="1">
      <c r="AB253" s="1155"/>
      <c r="AC253" s="1155"/>
      <c r="AJ253" s="1155"/>
      <c r="AK253" s="1155"/>
    </row>
    <row r="254" spans="28:37" s="1127" customFormat="1">
      <c r="AB254" s="1155"/>
      <c r="AC254" s="1155"/>
      <c r="AJ254" s="1155"/>
      <c r="AK254" s="1155"/>
    </row>
    <row r="255" spans="28:37" s="1127" customFormat="1">
      <c r="AB255" s="1155"/>
      <c r="AC255" s="1155"/>
      <c r="AJ255" s="1155"/>
      <c r="AK255" s="1155"/>
    </row>
    <row r="256" spans="28:37" s="1127" customFormat="1">
      <c r="AB256" s="1155"/>
      <c r="AC256" s="1155"/>
      <c r="AJ256" s="1155"/>
      <c r="AK256" s="1155"/>
    </row>
    <row r="257" spans="28:37" s="1127" customFormat="1">
      <c r="AB257" s="1155"/>
      <c r="AC257" s="1155"/>
      <c r="AJ257" s="1155"/>
      <c r="AK257" s="1155"/>
    </row>
    <row r="258" spans="28:37" s="1127" customFormat="1">
      <c r="AB258" s="1155"/>
      <c r="AC258" s="1155"/>
      <c r="AJ258" s="1155"/>
      <c r="AK258" s="1155"/>
    </row>
    <row r="259" spans="28:37" s="1127" customFormat="1">
      <c r="AB259" s="1155"/>
      <c r="AC259" s="1155"/>
      <c r="AJ259" s="1155"/>
      <c r="AK259" s="1155"/>
    </row>
    <row r="260" spans="28:37" s="1127" customFormat="1">
      <c r="AB260" s="1155"/>
      <c r="AC260" s="1155"/>
      <c r="AJ260" s="1155"/>
      <c r="AK260" s="1155"/>
    </row>
    <row r="261" spans="28:37" s="1127" customFormat="1">
      <c r="AB261" s="1155"/>
      <c r="AC261" s="1155"/>
      <c r="AJ261" s="1155"/>
      <c r="AK261" s="1155"/>
    </row>
    <row r="262" spans="28:37" s="1127" customFormat="1">
      <c r="AB262" s="1155"/>
      <c r="AC262" s="1155"/>
      <c r="AJ262" s="1155"/>
      <c r="AK262" s="1155"/>
    </row>
    <row r="263" spans="28:37" s="1127" customFormat="1">
      <c r="AB263" s="1155"/>
      <c r="AC263" s="1155"/>
      <c r="AJ263" s="1155"/>
      <c r="AK263" s="1155"/>
    </row>
    <row r="264" spans="28:37" s="1127" customFormat="1">
      <c r="AB264" s="1155"/>
      <c r="AC264" s="1155"/>
      <c r="AJ264" s="1155"/>
      <c r="AK264" s="1155"/>
    </row>
    <row r="265" spans="28:37" s="1127" customFormat="1">
      <c r="AB265" s="1155"/>
      <c r="AC265" s="1155"/>
      <c r="AJ265" s="1155"/>
      <c r="AK265" s="1155"/>
    </row>
    <row r="266" spans="28:37" s="1127" customFormat="1">
      <c r="AB266" s="1155"/>
      <c r="AC266" s="1155"/>
      <c r="AJ266" s="1155"/>
      <c r="AK266" s="1155"/>
    </row>
    <row r="267" spans="28:37" s="1127" customFormat="1">
      <c r="AB267" s="1155"/>
      <c r="AC267" s="1155"/>
      <c r="AJ267" s="1155"/>
      <c r="AK267" s="1155"/>
    </row>
    <row r="268" spans="28:37" s="1127" customFormat="1">
      <c r="AB268" s="1155"/>
      <c r="AC268" s="1155"/>
      <c r="AJ268" s="1155"/>
      <c r="AK268" s="1155"/>
    </row>
    <row r="269" spans="28:37" s="1127" customFormat="1">
      <c r="AB269" s="1155"/>
      <c r="AC269" s="1155"/>
      <c r="AJ269" s="1155"/>
      <c r="AK269" s="1155"/>
    </row>
    <row r="270" spans="28:37" s="1127" customFormat="1">
      <c r="AB270" s="1155"/>
      <c r="AC270" s="1155"/>
      <c r="AJ270" s="1155"/>
      <c r="AK270" s="1155"/>
    </row>
    <row r="271" spans="28:37" s="1127" customFormat="1">
      <c r="AB271" s="1155"/>
      <c r="AC271" s="1155"/>
      <c r="AJ271" s="1155"/>
      <c r="AK271" s="1155"/>
    </row>
    <row r="272" spans="28:37" s="1127" customFormat="1">
      <c r="AB272" s="1155"/>
      <c r="AC272" s="1155"/>
      <c r="AJ272" s="1155"/>
      <c r="AK272" s="1155"/>
    </row>
    <row r="273" spans="28:37" s="1127" customFormat="1">
      <c r="AB273" s="1155"/>
      <c r="AC273" s="1155"/>
      <c r="AJ273" s="1155"/>
      <c r="AK273" s="1155"/>
    </row>
    <row r="274" spans="28:37" s="1127" customFormat="1">
      <c r="AB274" s="1155"/>
      <c r="AC274" s="1155"/>
      <c r="AJ274" s="1155"/>
      <c r="AK274" s="1155"/>
    </row>
    <row r="275" spans="28:37" s="1127" customFormat="1">
      <c r="AB275" s="1155"/>
      <c r="AC275" s="1155"/>
      <c r="AJ275" s="1155"/>
      <c r="AK275" s="1155"/>
    </row>
    <row r="276" spans="28:37" s="1127" customFormat="1">
      <c r="AB276" s="1155"/>
      <c r="AC276" s="1155"/>
      <c r="AJ276" s="1155"/>
      <c r="AK276" s="1155"/>
    </row>
    <row r="277" spans="28:37" s="1127" customFormat="1">
      <c r="AB277" s="1155"/>
      <c r="AC277" s="1155"/>
      <c r="AJ277" s="1155"/>
      <c r="AK277" s="1155"/>
    </row>
    <row r="278" spans="28:37" s="1127" customFormat="1">
      <c r="AB278" s="1155"/>
      <c r="AC278" s="1155"/>
      <c r="AJ278" s="1155"/>
      <c r="AK278" s="1155"/>
    </row>
    <row r="279" spans="28:37" s="1127" customFormat="1">
      <c r="AB279" s="1155"/>
      <c r="AC279" s="1155"/>
      <c r="AJ279" s="1155"/>
      <c r="AK279" s="1155"/>
    </row>
    <row r="280" spans="28:37" s="1127" customFormat="1">
      <c r="AB280" s="1155"/>
      <c r="AC280" s="1155"/>
      <c r="AJ280" s="1155"/>
      <c r="AK280" s="1155"/>
    </row>
    <row r="281" spans="28:37" s="1127" customFormat="1">
      <c r="AB281" s="1155"/>
      <c r="AC281" s="1155"/>
      <c r="AJ281" s="1155"/>
      <c r="AK281" s="1155"/>
    </row>
    <row r="282" spans="28:37" s="1127" customFormat="1">
      <c r="AB282" s="1155"/>
      <c r="AC282" s="1155"/>
      <c r="AJ282" s="1155"/>
      <c r="AK282" s="1155"/>
    </row>
    <row r="283" spans="28:37" s="1127" customFormat="1">
      <c r="AB283" s="1155"/>
      <c r="AC283" s="1155"/>
      <c r="AJ283" s="1155"/>
      <c r="AK283" s="1155"/>
    </row>
    <row r="284" spans="28:37" s="1127" customFormat="1">
      <c r="AB284" s="1155"/>
      <c r="AC284" s="1155"/>
      <c r="AJ284" s="1155"/>
      <c r="AK284" s="1155"/>
    </row>
    <row r="285" spans="28:37" s="1127" customFormat="1">
      <c r="AB285" s="1155"/>
      <c r="AC285" s="1155"/>
      <c r="AJ285" s="1155"/>
      <c r="AK285" s="1155"/>
    </row>
    <row r="286" spans="28:37" s="1127" customFormat="1">
      <c r="AB286" s="1155"/>
      <c r="AC286" s="1155"/>
      <c r="AJ286" s="1155"/>
      <c r="AK286" s="1155"/>
    </row>
    <row r="287" spans="28:37" s="1127" customFormat="1">
      <c r="AB287" s="1155"/>
      <c r="AC287" s="1155"/>
      <c r="AJ287" s="1155"/>
      <c r="AK287" s="1155"/>
    </row>
    <row r="288" spans="28:37" s="1127" customFormat="1">
      <c r="AB288" s="1155"/>
      <c r="AC288" s="1155"/>
      <c r="AJ288" s="1155"/>
      <c r="AK288" s="1155"/>
    </row>
    <row r="289" spans="28:37" s="1127" customFormat="1">
      <c r="AB289" s="1155"/>
      <c r="AC289" s="1155"/>
      <c r="AJ289" s="1155"/>
      <c r="AK289" s="1155"/>
    </row>
    <row r="290" spans="28:37" s="1127" customFormat="1">
      <c r="AB290" s="1155"/>
      <c r="AC290" s="1155"/>
      <c r="AJ290" s="1155"/>
      <c r="AK290" s="1155"/>
    </row>
    <row r="291" spans="28:37" s="1127" customFormat="1">
      <c r="AB291" s="1155"/>
      <c r="AC291" s="1155"/>
      <c r="AJ291" s="1155"/>
      <c r="AK291" s="1155"/>
    </row>
    <row r="292" spans="28:37" s="1127" customFormat="1">
      <c r="AB292" s="1155"/>
      <c r="AC292" s="1155"/>
      <c r="AJ292" s="1155"/>
      <c r="AK292" s="1155"/>
    </row>
    <row r="293" spans="28:37" s="1127" customFormat="1">
      <c r="AB293" s="1155"/>
      <c r="AC293" s="1155"/>
      <c r="AJ293" s="1155"/>
      <c r="AK293" s="1155"/>
    </row>
    <row r="294" spans="28:37" s="1127" customFormat="1">
      <c r="AB294" s="1155"/>
      <c r="AC294" s="1155"/>
      <c r="AJ294" s="1155"/>
      <c r="AK294" s="1155"/>
    </row>
    <row r="295" spans="28:37" s="1127" customFormat="1">
      <c r="AB295" s="1155"/>
      <c r="AC295" s="1155"/>
      <c r="AJ295" s="1155"/>
      <c r="AK295" s="1155"/>
    </row>
    <row r="296" spans="28:37" s="1127" customFormat="1">
      <c r="AB296" s="1155"/>
      <c r="AC296" s="1155"/>
      <c r="AJ296" s="1155"/>
      <c r="AK296" s="1155"/>
    </row>
    <row r="297" spans="28:37" s="1127" customFormat="1">
      <c r="AB297" s="1155"/>
      <c r="AC297" s="1155"/>
      <c r="AJ297" s="1155"/>
      <c r="AK297" s="1155"/>
    </row>
    <row r="298" spans="28:37" s="1127" customFormat="1">
      <c r="AB298" s="1155"/>
      <c r="AC298" s="1155"/>
      <c r="AJ298" s="1155"/>
      <c r="AK298" s="1155"/>
    </row>
    <row r="299" spans="28:37" s="1127" customFormat="1">
      <c r="AB299" s="1155"/>
      <c r="AC299" s="1155"/>
      <c r="AJ299" s="1155"/>
      <c r="AK299" s="1155"/>
    </row>
    <row r="300" spans="28:37" s="1127" customFormat="1">
      <c r="AB300" s="1155"/>
      <c r="AC300" s="1155"/>
      <c r="AJ300" s="1155"/>
      <c r="AK300" s="1155"/>
    </row>
    <row r="301" spans="28:37" s="1127" customFormat="1">
      <c r="AB301" s="1155"/>
      <c r="AC301" s="1155"/>
      <c r="AJ301" s="1155"/>
      <c r="AK301" s="1155"/>
    </row>
    <row r="302" spans="28:37" s="1127" customFormat="1">
      <c r="AB302" s="1155"/>
      <c r="AC302" s="1155"/>
      <c r="AJ302" s="1155"/>
      <c r="AK302" s="1155"/>
    </row>
    <row r="303" spans="28:37" s="1127" customFormat="1">
      <c r="AB303" s="1155"/>
      <c r="AC303" s="1155"/>
      <c r="AJ303" s="1155"/>
      <c r="AK303" s="1155"/>
    </row>
    <row r="304" spans="28:37" s="1127" customFormat="1">
      <c r="AB304" s="1155"/>
      <c r="AC304" s="1155"/>
      <c r="AJ304" s="1155"/>
      <c r="AK304" s="1155"/>
    </row>
    <row r="305" spans="28:37" s="1127" customFormat="1">
      <c r="AB305" s="1155"/>
      <c r="AC305" s="1155"/>
      <c r="AJ305" s="1155"/>
      <c r="AK305" s="1155"/>
    </row>
    <row r="306" spans="28:37" s="1127" customFormat="1">
      <c r="AB306" s="1155"/>
      <c r="AC306" s="1155"/>
      <c r="AJ306" s="1155"/>
      <c r="AK306" s="1155"/>
    </row>
    <row r="307" spans="28:37" s="1127" customFormat="1">
      <c r="AB307" s="1155"/>
      <c r="AC307" s="1155"/>
      <c r="AJ307" s="1155"/>
      <c r="AK307" s="1155"/>
    </row>
    <row r="308" spans="28:37" s="1127" customFormat="1">
      <c r="AB308" s="1155"/>
      <c r="AC308" s="1155"/>
      <c r="AJ308" s="1155"/>
      <c r="AK308" s="1155"/>
    </row>
    <row r="309" spans="28:37" s="1127" customFormat="1">
      <c r="AB309" s="1155"/>
      <c r="AC309" s="1155"/>
      <c r="AJ309" s="1155"/>
      <c r="AK309" s="1155"/>
    </row>
    <row r="310" spans="28:37" s="1127" customFormat="1">
      <c r="AB310" s="1155"/>
      <c r="AC310" s="1155"/>
      <c r="AJ310" s="1155"/>
      <c r="AK310" s="1155"/>
    </row>
    <row r="311" spans="28:37" s="1127" customFormat="1">
      <c r="AB311" s="1155"/>
      <c r="AC311" s="1155"/>
      <c r="AJ311" s="1155"/>
      <c r="AK311" s="1155"/>
    </row>
    <row r="312" spans="28:37" s="1127" customFormat="1">
      <c r="AB312" s="1155"/>
      <c r="AC312" s="1155"/>
      <c r="AJ312" s="1155"/>
      <c r="AK312" s="1155"/>
    </row>
    <row r="313" spans="28:37" s="1127" customFormat="1">
      <c r="AB313" s="1155"/>
      <c r="AC313" s="1155"/>
      <c r="AJ313" s="1155"/>
      <c r="AK313" s="1155"/>
    </row>
    <row r="314" spans="28:37" s="1127" customFormat="1">
      <c r="AB314" s="1155"/>
      <c r="AC314" s="1155"/>
      <c r="AJ314" s="1155"/>
      <c r="AK314" s="1155"/>
    </row>
    <row r="315" spans="28:37" s="1127" customFormat="1">
      <c r="AB315" s="1155"/>
      <c r="AC315" s="1155"/>
      <c r="AJ315" s="1155"/>
      <c r="AK315" s="1155"/>
    </row>
    <row r="316" spans="28:37" s="1127" customFormat="1">
      <c r="AB316" s="1155"/>
      <c r="AC316" s="1155"/>
      <c r="AJ316" s="1155"/>
      <c r="AK316" s="1155"/>
    </row>
    <row r="317" spans="28:37" s="1127" customFormat="1">
      <c r="AB317" s="1155"/>
      <c r="AC317" s="1155"/>
      <c r="AJ317" s="1155"/>
      <c r="AK317" s="1155"/>
    </row>
    <row r="318" spans="28:37" s="1127" customFormat="1">
      <c r="AB318" s="1155"/>
      <c r="AC318" s="1155"/>
      <c r="AJ318" s="1155"/>
      <c r="AK318" s="1155"/>
    </row>
    <row r="319" spans="28:37" s="1127" customFormat="1">
      <c r="AB319" s="1155"/>
      <c r="AC319" s="1155"/>
      <c r="AJ319" s="1155"/>
      <c r="AK319" s="1155"/>
    </row>
    <row r="320" spans="28:37" s="1127" customFormat="1">
      <c r="AB320" s="1155"/>
      <c r="AC320" s="1155"/>
      <c r="AJ320" s="1155"/>
      <c r="AK320" s="1155"/>
    </row>
    <row r="321" spans="28:37" s="1127" customFormat="1">
      <c r="AB321" s="1155"/>
      <c r="AC321" s="1155"/>
      <c r="AJ321" s="1155"/>
      <c r="AK321" s="1155"/>
    </row>
    <row r="322" spans="28:37" s="1127" customFormat="1">
      <c r="AB322" s="1155"/>
      <c r="AC322" s="1155"/>
      <c r="AJ322" s="1155"/>
      <c r="AK322" s="1155"/>
    </row>
    <row r="323" spans="28:37" s="1127" customFormat="1">
      <c r="AB323" s="1155"/>
      <c r="AC323" s="1155"/>
      <c r="AJ323" s="1155"/>
      <c r="AK323" s="1155"/>
    </row>
    <row r="324" spans="28:37" s="1127" customFormat="1">
      <c r="AB324" s="1155"/>
      <c r="AC324" s="1155"/>
      <c r="AJ324" s="1155"/>
      <c r="AK324" s="1155"/>
    </row>
    <row r="325" spans="28:37" s="1127" customFormat="1">
      <c r="AB325" s="1155"/>
      <c r="AC325" s="1155"/>
      <c r="AJ325" s="1155"/>
      <c r="AK325" s="1155"/>
    </row>
    <row r="326" spans="28:37" s="1127" customFormat="1">
      <c r="AB326" s="1155"/>
      <c r="AC326" s="1155"/>
      <c r="AJ326" s="1155"/>
      <c r="AK326" s="1155"/>
    </row>
    <row r="327" spans="28:37" s="1127" customFormat="1">
      <c r="AB327" s="1155"/>
      <c r="AC327" s="1155"/>
      <c r="AJ327" s="1155"/>
      <c r="AK327" s="1155"/>
    </row>
    <row r="328" spans="28:37" s="1127" customFormat="1">
      <c r="AB328" s="1155"/>
      <c r="AC328" s="1155"/>
      <c r="AJ328" s="1155"/>
      <c r="AK328" s="1155"/>
    </row>
    <row r="329" spans="28:37" s="1127" customFormat="1">
      <c r="AB329" s="1155"/>
      <c r="AC329" s="1155"/>
      <c r="AJ329" s="1155"/>
      <c r="AK329" s="1155"/>
    </row>
    <row r="330" spans="28:37" s="1127" customFormat="1">
      <c r="AB330" s="1155"/>
      <c r="AC330" s="1155"/>
      <c r="AJ330" s="1155"/>
      <c r="AK330" s="1155"/>
    </row>
    <row r="331" spans="28:37" s="1127" customFormat="1">
      <c r="AB331" s="1155"/>
      <c r="AC331" s="1155"/>
      <c r="AJ331" s="1155"/>
      <c r="AK331" s="1155"/>
    </row>
    <row r="332" spans="28:37" s="1127" customFormat="1">
      <c r="AB332" s="1155"/>
      <c r="AC332" s="1155"/>
      <c r="AJ332" s="1155"/>
      <c r="AK332" s="1155"/>
    </row>
    <row r="333" spans="28:37" s="1127" customFormat="1">
      <c r="AB333" s="1155"/>
      <c r="AC333" s="1155"/>
      <c r="AJ333" s="1155"/>
      <c r="AK333" s="1155"/>
    </row>
    <row r="334" spans="28:37" s="1127" customFormat="1">
      <c r="AB334" s="1155"/>
      <c r="AC334" s="1155"/>
      <c r="AJ334" s="1155"/>
      <c r="AK334" s="1155"/>
    </row>
    <row r="335" spans="28:37" s="1127" customFormat="1">
      <c r="AB335" s="1155"/>
      <c r="AC335" s="1155"/>
      <c r="AJ335" s="1155"/>
      <c r="AK335" s="1155"/>
    </row>
    <row r="336" spans="28:37" s="1127" customFormat="1">
      <c r="AB336" s="1155"/>
      <c r="AC336" s="1155"/>
      <c r="AJ336" s="1155"/>
      <c r="AK336" s="1155"/>
    </row>
    <row r="337" spans="28:37" s="1127" customFormat="1">
      <c r="AB337" s="1155"/>
      <c r="AC337" s="1155"/>
      <c r="AJ337" s="1155"/>
      <c r="AK337" s="1155"/>
    </row>
    <row r="338" spans="28:37" s="1127" customFormat="1">
      <c r="AB338" s="1155"/>
      <c r="AC338" s="1155"/>
      <c r="AJ338" s="1155"/>
      <c r="AK338" s="1155"/>
    </row>
    <row r="339" spans="28:37" s="1127" customFormat="1">
      <c r="AB339" s="1155"/>
      <c r="AC339" s="1155"/>
      <c r="AJ339" s="1155"/>
      <c r="AK339" s="1155"/>
    </row>
    <row r="340" spans="28:37" s="1127" customFormat="1">
      <c r="AB340" s="1155"/>
      <c r="AC340" s="1155"/>
      <c r="AJ340" s="1155"/>
      <c r="AK340" s="1155"/>
    </row>
    <row r="341" spans="28:37" s="1127" customFormat="1">
      <c r="AB341" s="1155"/>
      <c r="AC341" s="1155"/>
      <c r="AJ341" s="1155"/>
      <c r="AK341" s="1155"/>
    </row>
    <row r="342" spans="28:37" s="1127" customFormat="1">
      <c r="AB342" s="1155"/>
      <c r="AC342" s="1155"/>
      <c r="AJ342" s="1155"/>
      <c r="AK342" s="1155"/>
    </row>
    <row r="343" spans="28:37" s="1127" customFormat="1">
      <c r="AB343" s="1155"/>
      <c r="AC343" s="1155"/>
      <c r="AJ343" s="1155"/>
      <c r="AK343" s="1155"/>
    </row>
    <row r="344" spans="28:37" s="1127" customFormat="1">
      <c r="AB344" s="1155"/>
      <c r="AC344" s="1155"/>
      <c r="AJ344" s="1155"/>
      <c r="AK344" s="1155"/>
    </row>
    <row r="345" spans="28:37" s="1127" customFormat="1">
      <c r="AB345" s="1155"/>
      <c r="AC345" s="1155"/>
      <c r="AJ345" s="1155"/>
      <c r="AK345" s="1155"/>
    </row>
    <row r="346" spans="28:37" s="1127" customFormat="1">
      <c r="AB346" s="1155"/>
      <c r="AC346" s="1155"/>
      <c r="AJ346" s="1155"/>
      <c r="AK346" s="1155"/>
    </row>
    <row r="347" spans="28:37" s="1127" customFormat="1">
      <c r="AB347" s="1155"/>
      <c r="AC347" s="1155"/>
      <c r="AJ347" s="1155"/>
      <c r="AK347" s="1155"/>
    </row>
    <row r="348" spans="28:37" s="1127" customFormat="1">
      <c r="AB348" s="1155"/>
      <c r="AC348" s="1155"/>
      <c r="AJ348" s="1155"/>
      <c r="AK348" s="1155"/>
    </row>
    <row r="349" spans="28:37" s="1127" customFormat="1">
      <c r="AB349" s="1155"/>
      <c r="AC349" s="1155"/>
      <c r="AJ349" s="1155"/>
      <c r="AK349" s="1155"/>
    </row>
    <row r="350" spans="28:37" s="1127" customFormat="1">
      <c r="AB350" s="1155"/>
      <c r="AC350" s="1155"/>
      <c r="AJ350" s="1155"/>
      <c r="AK350" s="1155"/>
    </row>
    <row r="351" spans="28:37" s="1127" customFormat="1">
      <c r="AB351" s="1155"/>
      <c r="AC351" s="1155"/>
      <c r="AJ351" s="1155"/>
      <c r="AK351" s="1155"/>
    </row>
    <row r="352" spans="28:37" s="1127" customFormat="1">
      <c r="AB352" s="1155"/>
      <c r="AC352" s="1155"/>
      <c r="AJ352" s="1155"/>
      <c r="AK352" s="1155"/>
    </row>
    <row r="353" spans="28:37" s="1127" customFormat="1">
      <c r="AB353" s="1155"/>
      <c r="AC353" s="1155"/>
      <c r="AJ353" s="1155"/>
      <c r="AK353" s="1155"/>
    </row>
    <row r="354" spans="28:37" s="1127" customFormat="1">
      <c r="AB354" s="1155"/>
      <c r="AC354" s="1155"/>
      <c r="AJ354" s="1155"/>
      <c r="AK354" s="1155"/>
    </row>
    <row r="355" spans="28:37" s="1127" customFormat="1">
      <c r="AB355" s="1155"/>
      <c r="AC355" s="1155"/>
      <c r="AJ355" s="1155"/>
      <c r="AK355" s="1155"/>
    </row>
    <row r="356" spans="28:37" s="1127" customFormat="1">
      <c r="AB356" s="1155"/>
      <c r="AC356" s="1155"/>
      <c r="AJ356" s="1155"/>
      <c r="AK356" s="1155"/>
    </row>
    <row r="357" spans="28:37" s="1127" customFormat="1">
      <c r="AB357" s="1155"/>
      <c r="AC357" s="1155"/>
      <c r="AJ357" s="1155"/>
      <c r="AK357" s="1155"/>
    </row>
    <row r="358" spans="28:37" s="1127" customFormat="1">
      <c r="AB358" s="1155"/>
      <c r="AC358" s="1155"/>
      <c r="AJ358" s="1155"/>
      <c r="AK358" s="1155"/>
    </row>
    <row r="359" spans="28:37" s="1127" customFormat="1">
      <c r="AB359" s="1155"/>
      <c r="AC359" s="1155"/>
      <c r="AJ359" s="1155"/>
      <c r="AK359" s="1155"/>
    </row>
    <row r="360" spans="28:37" s="1127" customFormat="1">
      <c r="AB360" s="1155"/>
      <c r="AC360" s="1155"/>
      <c r="AJ360" s="1155"/>
      <c r="AK360" s="1155"/>
    </row>
    <row r="361" spans="28:37" s="1127" customFormat="1">
      <c r="AB361" s="1155"/>
      <c r="AC361" s="1155"/>
      <c r="AJ361" s="1155"/>
      <c r="AK361" s="1155"/>
    </row>
    <row r="362" spans="28:37" s="1127" customFormat="1">
      <c r="AB362" s="1155"/>
      <c r="AC362" s="1155"/>
      <c r="AJ362" s="1155"/>
      <c r="AK362" s="1155"/>
    </row>
    <row r="363" spans="28:37" s="1127" customFormat="1">
      <c r="AB363" s="1155"/>
      <c r="AC363" s="1155"/>
      <c r="AJ363" s="1155"/>
      <c r="AK363" s="1155"/>
    </row>
    <row r="364" spans="28:37" s="1127" customFormat="1">
      <c r="AB364" s="1155"/>
      <c r="AC364" s="1155"/>
      <c r="AJ364" s="1155"/>
      <c r="AK364" s="1155"/>
    </row>
    <row r="365" spans="28:37" s="1127" customFormat="1">
      <c r="AB365" s="1155"/>
      <c r="AC365" s="1155"/>
      <c r="AJ365" s="1155"/>
      <c r="AK365" s="1155"/>
    </row>
    <row r="366" spans="28:37" s="1127" customFormat="1">
      <c r="AB366" s="1155"/>
      <c r="AC366" s="1155"/>
      <c r="AJ366" s="1155"/>
      <c r="AK366" s="1155"/>
    </row>
    <row r="367" spans="28:37" s="1127" customFormat="1">
      <c r="AB367" s="1155"/>
      <c r="AC367" s="1155"/>
      <c r="AJ367" s="1155"/>
      <c r="AK367" s="1155"/>
    </row>
    <row r="368" spans="28:37" s="1127" customFormat="1">
      <c r="AB368" s="1155"/>
      <c r="AC368" s="1155"/>
      <c r="AJ368" s="1155"/>
      <c r="AK368" s="1155"/>
    </row>
    <row r="369" spans="28:37" s="1127" customFormat="1">
      <c r="AB369" s="1155"/>
      <c r="AC369" s="1155"/>
      <c r="AJ369" s="1155"/>
      <c r="AK369" s="1155"/>
    </row>
    <row r="370" spans="28:37" s="1127" customFormat="1">
      <c r="AB370" s="1155"/>
      <c r="AC370" s="1155"/>
      <c r="AJ370" s="1155"/>
      <c r="AK370" s="1155"/>
    </row>
    <row r="371" spans="28:37" s="1127" customFormat="1">
      <c r="AB371" s="1155"/>
      <c r="AC371" s="1155"/>
      <c r="AJ371" s="1155"/>
      <c r="AK371" s="1155"/>
    </row>
    <row r="372" spans="28:37" s="1127" customFormat="1">
      <c r="AB372" s="1155"/>
      <c r="AC372" s="1155"/>
      <c r="AJ372" s="1155"/>
      <c r="AK372" s="1155"/>
    </row>
    <row r="373" spans="28:37" s="1127" customFormat="1">
      <c r="AB373" s="1155"/>
      <c r="AC373" s="1155"/>
      <c r="AJ373" s="1155"/>
      <c r="AK373" s="1155"/>
    </row>
    <row r="374" spans="28:37" s="1127" customFormat="1">
      <c r="AB374" s="1155"/>
      <c r="AC374" s="1155"/>
      <c r="AJ374" s="1155"/>
      <c r="AK374" s="1155"/>
    </row>
    <row r="375" spans="28:37" s="1127" customFormat="1">
      <c r="AB375" s="1155"/>
      <c r="AC375" s="1155"/>
      <c r="AJ375" s="1155"/>
      <c r="AK375" s="1155"/>
    </row>
    <row r="376" spans="28:37" s="1127" customFormat="1">
      <c r="AB376" s="1155"/>
      <c r="AC376" s="1155"/>
      <c r="AJ376" s="1155"/>
      <c r="AK376" s="1155"/>
    </row>
    <row r="377" spans="28:37" s="1127" customFormat="1">
      <c r="AB377" s="1155"/>
      <c r="AC377" s="1155"/>
      <c r="AJ377" s="1155"/>
      <c r="AK377" s="1155"/>
    </row>
    <row r="378" spans="28:37" s="1127" customFormat="1">
      <c r="AB378" s="1155"/>
      <c r="AC378" s="1155"/>
      <c r="AJ378" s="1155"/>
      <c r="AK378" s="1155"/>
    </row>
    <row r="379" spans="28:37" s="1127" customFormat="1">
      <c r="AB379" s="1155"/>
      <c r="AC379" s="1155"/>
      <c r="AJ379" s="1155"/>
      <c r="AK379" s="1155"/>
    </row>
    <row r="380" spans="28:37" s="1127" customFormat="1">
      <c r="AB380" s="1155"/>
      <c r="AC380" s="1155"/>
      <c r="AJ380" s="1155"/>
      <c r="AK380" s="1155"/>
    </row>
    <row r="381" spans="28:37" s="1127" customFormat="1">
      <c r="AB381" s="1155"/>
      <c r="AC381" s="1155"/>
      <c r="AJ381" s="1155"/>
      <c r="AK381" s="1155"/>
    </row>
    <row r="382" spans="28:37" s="1127" customFormat="1">
      <c r="AB382" s="1155"/>
      <c r="AC382" s="1155"/>
      <c r="AJ382" s="1155"/>
      <c r="AK382" s="1155"/>
    </row>
    <row r="383" spans="28:37" s="1127" customFormat="1">
      <c r="AB383" s="1155"/>
      <c r="AC383" s="1155"/>
      <c r="AJ383" s="1155"/>
      <c r="AK383" s="1155"/>
    </row>
    <row r="384" spans="28:37" s="1127" customFormat="1">
      <c r="AB384" s="1155"/>
      <c r="AC384" s="1155"/>
      <c r="AJ384" s="1155"/>
      <c r="AK384" s="1155"/>
    </row>
    <row r="385" spans="28:37" s="1127" customFormat="1">
      <c r="AB385" s="1155"/>
      <c r="AC385" s="1155"/>
      <c r="AJ385" s="1155"/>
      <c r="AK385" s="1155"/>
    </row>
    <row r="386" spans="28:37" s="1127" customFormat="1">
      <c r="AB386" s="1155"/>
      <c r="AC386" s="1155"/>
      <c r="AJ386" s="1155"/>
      <c r="AK386" s="1155"/>
    </row>
    <row r="387" spans="28:37" s="1127" customFormat="1">
      <c r="AB387" s="1155"/>
      <c r="AC387" s="1155"/>
      <c r="AJ387" s="1155"/>
      <c r="AK387" s="1155"/>
    </row>
    <row r="388" spans="28:37" s="1127" customFormat="1">
      <c r="AB388" s="1155"/>
      <c r="AC388" s="1155"/>
      <c r="AJ388" s="1155"/>
      <c r="AK388" s="1155"/>
    </row>
    <row r="389" spans="28:37" s="1127" customFormat="1">
      <c r="AB389" s="1155"/>
      <c r="AC389" s="1155"/>
      <c r="AJ389" s="1155"/>
      <c r="AK389" s="1155"/>
    </row>
    <row r="390" spans="28:37" s="1127" customFormat="1">
      <c r="AB390" s="1155"/>
      <c r="AC390" s="1155"/>
      <c r="AJ390" s="1155"/>
      <c r="AK390" s="1155"/>
    </row>
    <row r="391" spans="28:37" s="1127" customFormat="1">
      <c r="AB391" s="1155"/>
      <c r="AC391" s="1155"/>
      <c r="AJ391" s="1155"/>
      <c r="AK391" s="1155"/>
    </row>
    <row r="392" spans="28:37" s="1127" customFormat="1">
      <c r="AB392" s="1155"/>
      <c r="AC392" s="1155"/>
      <c r="AJ392" s="1155"/>
      <c r="AK392" s="1155"/>
    </row>
    <row r="393" spans="28:37" s="1127" customFormat="1">
      <c r="AB393" s="1155"/>
      <c r="AC393" s="1155"/>
      <c r="AJ393" s="1155"/>
      <c r="AK393" s="1155"/>
    </row>
    <row r="394" spans="28:37" s="1127" customFormat="1">
      <c r="AB394" s="1155"/>
      <c r="AC394" s="1155"/>
      <c r="AJ394" s="1155"/>
      <c r="AK394" s="1155"/>
    </row>
    <row r="395" spans="28:37" s="1127" customFormat="1">
      <c r="AB395" s="1155"/>
      <c r="AC395" s="1155"/>
      <c r="AJ395" s="1155"/>
      <c r="AK395" s="1155"/>
    </row>
    <row r="396" spans="28:37" s="1127" customFormat="1">
      <c r="AB396" s="1155"/>
      <c r="AC396" s="1155"/>
      <c r="AJ396" s="1155"/>
      <c r="AK396" s="1155"/>
    </row>
    <row r="397" spans="28:37" s="1127" customFormat="1">
      <c r="AB397" s="1155"/>
      <c r="AC397" s="1155"/>
      <c r="AJ397" s="1155"/>
      <c r="AK397" s="1155"/>
    </row>
    <row r="398" spans="28:37" s="1127" customFormat="1">
      <c r="AB398" s="1155"/>
      <c r="AC398" s="1155"/>
      <c r="AJ398" s="1155"/>
      <c r="AK398" s="1155"/>
    </row>
    <row r="399" spans="28:37" s="1127" customFormat="1">
      <c r="AB399" s="1155"/>
      <c r="AC399" s="1155"/>
      <c r="AJ399" s="1155"/>
      <c r="AK399" s="1155"/>
    </row>
    <row r="400" spans="28:37" s="1127" customFormat="1">
      <c r="AB400" s="1155"/>
      <c r="AC400" s="1155"/>
      <c r="AJ400" s="1155"/>
      <c r="AK400" s="1155"/>
    </row>
    <row r="401" spans="28:37" s="1127" customFormat="1">
      <c r="AB401" s="1155"/>
      <c r="AC401" s="1155"/>
      <c r="AJ401" s="1155"/>
      <c r="AK401" s="1155"/>
    </row>
    <row r="402" spans="28:37" s="1127" customFormat="1">
      <c r="AB402" s="1155"/>
      <c r="AC402" s="1155"/>
      <c r="AJ402" s="1155"/>
      <c r="AK402" s="1155"/>
    </row>
    <row r="403" spans="28:37" s="1127" customFormat="1">
      <c r="AB403" s="1155"/>
      <c r="AC403" s="1155"/>
      <c r="AJ403" s="1155"/>
      <c r="AK403" s="1155"/>
    </row>
    <row r="404" spans="28:37" s="1127" customFormat="1">
      <c r="AB404" s="1155"/>
      <c r="AC404" s="1155"/>
      <c r="AJ404" s="1155"/>
      <c r="AK404" s="1155"/>
    </row>
    <row r="405" spans="28:37" s="1127" customFormat="1">
      <c r="AB405" s="1155"/>
      <c r="AC405" s="1155"/>
      <c r="AJ405" s="1155"/>
      <c r="AK405" s="1155"/>
    </row>
    <row r="406" spans="28:37" s="1127" customFormat="1">
      <c r="AB406" s="1155"/>
      <c r="AC406" s="1155"/>
      <c r="AJ406" s="1155"/>
      <c r="AK406" s="1155"/>
    </row>
    <row r="407" spans="28:37" s="1127" customFormat="1">
      <c r="AB407" s="1155"/>
      <c r="AC407" s="1155"/>
      <c r="AJ407" s="1155"/>
      <c r="AK407" s="1155"/>
    </row>
    <row r="408" spans="28:37" s="1127" customFormat="1">
      <c r="AB408" s="1155"/>
      <c r="AC408" s="1155"/>
      <c r="AJ408" s="1155"/>
      <c r="AK408" s="1155"/>
    </row>
    <row r="409" spans="28:37" s="1127" customFormat="1">
      <c r="AB409" s="1155"/>
      <c r="AC409" s="1155"/>
      <c r="AJ409" s="1155"/>
      <c r="AK409" s="1155"/>
    </row>
    <row r="410" spans="28:37" s="1127" customFormat="1">
      <c r="AB410" s="1155"/>
      <c r="AC410" s="1155"/>
      <c r="AJ410" s="1155"/>
      <c r="AK410" s="1155"/>
    </row>
    <row r="411" spans="28:37" s="1127" customFormat="1">
      <c r="AB411" s="1155"/>
      <c r="AC411" s="1155"/>
      <c r="AJ411" s="1155"/>
      <c r="AK411" s="1155"/>
    </row>
    <row r="412" spans="28:37" s="1127" customFormat="1">
      <c r="AB412" s="1155"/>
      <c r="AC412" s="1155"/>
      <c r="AJ412" s="1155"/>
      <c r="AK412" s="1155"/>
    </row>
    <row r="413" spans="28:37" s="1127" customFormat="1">
      <c r="AB413" s="1155"/>
      <c r="AC413" s="1155"/>
      <c r="AJ413" s="1155"/>
      <c r="AK413" s="1155"/>
    </row>
    <row r="414" spans="28:37" s="1127" customFormat="1">
      <c r="AB414" s="1155"/>
      <c r="AC414" s="1155"/>
      <c r="AJ414" s="1155"/>
      <c r="AK414" s="1155"/>
    </row>
    <row r="415" spans="28:37" s="1127" customFormat="1">
      <c r="AB415" s="1155"/>
      <c r="AC415" s="1155"/>
      <c r="AJ415" s="1155"/>
      <c r="AK415" s="1155"/>
    </row>
    <row r="416" spans="28:37" s="1127" customFormat="1">
      <c r="AB416" s="1155"/>
      <c r="AC416" s="1155"/>
      <c r="AJ416" s="1155"/>
      <c r="AK416" s="1155"/>
    </row>
    <row r="417" spans="28:37" s="1127" customFormat="1">
      <c r="AB417" s="1155"/>
      <c r="AC417" s="1155"/>
      <c r="AJ417" s="1155"/>
      <c r="AK417" s="1155"/>
    </row>
    <row r="418" spans="28:37" s="1127" customFormat="1">
      <c r="AB418" s="1155"/>
      <c r="AC418" s="1155"/>
      <c r="AJ418" s="1155"/>
      <c r="AK418" s="1155"/>
    </row>
    <row r="419" spans="28:37" s="1127" customFormat="1">
      <c r="AB419" s="1155"/>
      <c r="AC419" s="1155"/>
      <c r="AJ419" s="1155"/>
      <c r="AK419" s="1155"/>
    </row>
    <row r="420" spans="28:37" s="1127" customFormat="1">
      <c r="AB420" s="1155"/>
      <c r="AC420" s="1155"/>
      <c r="AJ420" s="1155"/>
      <c r="AK420" s="1155"/>
    </row>
    <row r="421" spans="28:37" s="1127" customFormat="1">
      <c r="AB421" s="1155"/>
      <c r="AC421" s="1155"/>
      <c r="AJ421" s="1155"/>
      <c r="AK421" s="1155"/>
    </row>
    <row r="426" spans="28:37" s="1127" customFormat="1">
      <c r="AB426" s="1155"/>
      <c r="AC426" s="1155"/>
      <c r="AJ426" s="1155"/>
      <c r="AK426" s="1155"/>
    </row>
  </sheetData>
  <mergeCells count="47">
    <mergeCell ref="AQ59:AU59"/>
    <mergeCell ref="AQ60:AU60"/>
    <mergeCell ref="AQ61:AU61"/>
    <mergeCell ref="AQ62:AU62"/>
    <mergeCell ref="AQ68:AU68"/>
    <mergeCell ref="D5:D8"/>
    <mergeCell ref="E5:E8"/>
    <mergeCell ref="AS1:AU1"/>
    <mergeCell ref="AN4:AO4"/>
    <mergeCell ref="AR4:AU4"/>
    <mergeCell ref="AN5:AU6"/>
    <mergeCell ref="AN7:AN8"/>
    <mergeCell ref="AO7:AU7"/>
    <mergeCell ref="A2:AU2"/>
    <mergeCell ref="AI4:AJ4"/>
    <mergeCell ref="V4:W4"/>
    <mergeCell ref="X4:Y4"/>
    <mergeCell ref="Z4:AA4"/>
    <mergeCell ref="A3:AU3"/>
    <mergeCell ref="T7:W7"/>
    <mergeCell ref="X7:X8"/>
    <mergeCell ref="AI60:AM60"/>
    <mergeCell ref="AI61:AM61"/>
    <mergeCell ref="AI62:AM62"/>
    <mergeCell ref="AI68:AM68"/>
    <mergeCell ref="AI59:AM59"/>
    <mergeCell ref="N5:R6"/>
    <mergeCell ref="S5:W6"/>
    <mergeCell ref="X5:AE6"/>
    <mergeCell ref="AF5:AM6"/>
    <mergeCell ref="H6:M6"/>
    <mergeCell ref="AK1:AM1"/>
    <mergeCell ref="A1:F1"/>
    <mergeCell ref="S7:S8"/>
    <mergeCell ref="F6:F8"/>
    <mergeCell ref="G6:G8"/>
    <mergeCell ref="C5:C8"/>
    <mergeCell ref="A5:A8"/>
    <mergeCell ref="B5:B8"/>
    <mergeCell ref="H7:M7"/>
    <mergeCell ref="N7:N8"/>
    <mergeCell ref="O7:R7"/>
    <mergeCell ref="AF4:AG4"/>
    <mergeCell ref="Y7:AE7"/>
    <mergeCell ref="AF7:AF8"/>
    <mergeCell ref="AG7:AM7"/>
    <mergeCell ref="F5:M5"/>
  </mergeCells>
  <printOptions horizontalCentered="1"/>
  <pageMargins left="0" right="0" top="0.87" bottom="0.44685039399999998" header="0.74803149606299202" footer="0.196850393700787"/>
  <pageSetup paperSize="8"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4"/>
  <dimension ref="A1"/>
  <sheetViews>
    <sheetView workbookViewId="0"/>
  </sheetViews>
  <sheetFormatPr defaultRowHeight="1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7">
    <tabColor theme="0"/>
  </sheetPr>
  <dimension ref="A1:R36"/>
  <sheetViews>
    <sheetView tabSelected="1" zoomScaleNormal="100" workbookViewId="0">
      <pane ySplit="7" topLeftCell="A8" activePane="bottomLeft" state="frozen"/>
      <selection pane="bottomLeft" activeCell="I18" sqref="I18"/>
    </sheetView>
  </sheetViews>
  <sheetFormatPr defaultRowHeight="15"/>
  <cols>
    <col min="1" max="1" width="5.85546875" style="44" customWidth="1"/>
    <col min="2" max="2" width="32.42578125" style="44" customWidth="1"/>
    <col min="3" max="3" width="12" style="44" customWidth="1"/>
    <col min="4" max="4" width="13.42578125" style="44" customWidth="1"/>
    <col min="5" max="5" width="8.42578125" style="44" customWidth="1"/>
    <col min="6" max="6" width="13.42578125" style="44" customWidth="1"/>
    <col min="7" max="7" width="9.7109375" style="44" customWidth="1"/>
    <col min="8" max="8" width="13.5703125" style="44" customWidth="1"/>
    <col min="9" max="9" width="12.140625" style="992" customWidth="1"/>
    <col min="10" max="10" width="13.28515625" style="44" customWidth="1"/>
    <col min="11" max="12" width="11.7109375" style="44" customWidth="1"/>
    <col min="13" max="13" width="10.42578125" style="44" customWidth="1"/>
    <col min="14" max="15" width="11.7109375" style="44" customWidth="1"/>
    <col min="16" max="16" width="13" style="44" customWidth="1"/>
    <col min="17" max="17" width="23.42578125" style="44" customWidth="1"/>
    <col min="18" max="18" width="12.140625" style="44" customWidth="1"/>
    <col min="19" max="256" width="9.140625" style="44"/>
    <col min="257" max="257" width="5.85546875" style="44" customWidth="1"/>
    <col min="258" max="258" width="25.42578125" style="44" customWidth="1"/>
    <col min="259" max="259" width="12.5703125" style="44" customWidth="1"/>
    <col min="260" max="260" width="13.42578125" style="44" customWidth="1"/>
    <col min="261" max="261" width="8.42578125" style="44" customWidth="1"/>
    <col min="262" max="262" width="12.5703125" style="44" customWidth="1"/>
    <col min="263" max="263" width="10.7109375" style="44" customWidth="1"/>
    <col min="264" max="264" width="11.7109375" style="44" customWidth="1"/>
    <col min="265" max="265" width="10" style="44" customWidth="1"/>
    <col min="266" max="266" width="11.28515625" style="44" customWidth="1"/>
    <col min="267" max="272" width="11.7109375" style="44" customWidth="1"/>
    <col min="273" max="273" width="12.85546875" style="44" customWidth="1"/>
    <col min="274" max="274" width="12.140625" style="44" customWidth="1"/>
    <col min="275" max="512" width="9.140625" style="44"/>
    <col min="513" max="513" width="5.85546875" style="44" customWidth="1"/>
    <col min="514" max="514" width="25.42578125" style="44" customWidth="1"/>
    <col min="515" max="515" width="12.5703125" style="44" customWidth="1"/>
    <col min="516" max="516" width="13.42578125" style="44" customWidth="1"/>
    <col min="517" max="517" width="8.42578125" style="44" customWidth="1"/>
    <col min="518" max="518" width="12.5703125" style="44" customWidth="1"/>
    <col min="519" max="519" width="10.7109375" style="44" customWidth="1"/>
    <col min="520" max="520" width="11.7109375" style="44" customWidth="1"/>
    <col min="521" max="521" width="10" style="44" customWidth="1"/>
    <col min="522" max="522" width="11.28515625" style="44" customWidth="1"/>
    <col min="523" max="528" width="11.7109375" style="44" customWidth="1"/>
    <col min="529" max="529" width="12.85546875" style="44" customWidth="1"/>
    <col min="530" max="530" width="12.140625" style="44" customWidth="1"/>
    <col min="531" max="768" width="9.140625" style="44"/>
    <col min="769" max="769" width="5.85546875" style="44" customWidth="1"/>
    <col min="770" max="770" width="25.42578125" style="44" customWidth="1"/>
    <col min="771" max="771" width="12.5703125" style="44" customWidth="1"/>
    <col min="772" max="772" width="13.42578125" style="44" customWidth="1"/>
    <col min="773" max="773" width="8.42578125" style="44" customWidth="1"/>
    <col min="774" max="774" width="12.5703125" style="44" customWidth="1"/>
    <col min="775" max="775" width="10.7109375" style="44" customWidth="1"/>
    <col min="776" max="776" width="11.7109375" style="44" customWidth="1"/>
    <col min="777" max="777" width="10" style="44" customWidth="1"/>
    <col min="778" max="778" width="11.28515625" style="44" customWidth="1"/>
    <col min="779" max="784" width="11.7109375" style="44" customWidth="1"/>
    <col min="785" max="785" width="12.85546875" style="44" customWidth="1"/>
    <col min="786" max="786" width="12.140625" style="44" customWidth="1"/>
    <col min="787" max="1024" width="9.140625" style="44"/>
    <col min="1025" max="1025" width="5.85546875" style="44" customWidth="1"/>
    <col min="1026" max="1026" width="25.42578125" style="44" customWidth="1"/>
    <col min="1027" max="1027" width="12.5703125" style="44" customWidth="1"/>
    <col min="1028" max="1028" width="13.42578125" style="44" customWidth="1"/>
    <col min="1029" max="1029" width="8.42578125" style="44" customWidth="1"/>
    <col min="1030" max="1030" width="12.5703125" style="44" customWidth="1"/>
    <col min="1031" max="1031" width="10.7109375" style="44" customWidth="1"/>
    <col min="1032" max="1032" width="11.7109375" style="44" customWidth="1"/>
    <col min="1033" max="1033" width="10" style="44" customWidth="1"/>
    <col min="1034" max="1034" width="11.28515625" style="44" customWidth="1"/>
    <col min="1035" max="1040" width="11.7109375" style="44" customWidth="1"/>
    <col min="1041" max="1041" width="12.85546875" style="44" customWidth="1"/>
    <col min="1042" max="1042" width="12.140625" style="44" customWidth="1"/>
    <col min="1043" max="1280" width="9.140625" style="44"/>
    <col min="1281" max="1281" width="5.85546875" style="44" customWidth="1"/>
    <col min="1282" max="1282" width="25.42578125" style="44" customWidth="1"/>
    <col min="1283" max="1283" width="12.5703125" style="44" customWidth="1"/>
    <col min="1284" max="1284" width="13.42578125" style="44" customWidth="1"/>
    <col min="1285" max="1285" width="8.42578125" style="44" customWidth="1"/>
    <col min="1286" max="1286" width="12.5703125" style="44" customWidth="1"/>
    <col min="1287" max="1287" width="10.7109375" style="44" customWidth="1"/>
    <col min="1288" max="1288" width="11.7109375" style="44" customWidth="1"/>
    <col min="1289" max="1289" width="10" style="44" customWidth="1"/>
    <col min="1290" max="1290" width="11.28515625" style="44" customWidth="1"/>
    <col min="1291" max="1296" width="11.7109375" style="44" customWidth="1"/>
    <col min="1297" max="1297" width="12.85546875" style="44" customWidth="1"/>
    <col min="1298" max="1298" width="12.140625" style="44" customWidth="1"/>
    <col min="1299" max="1536" width="9.140625" style="44"/>
    <col min="1537" max="1537" width="5.85546875" style="44" customWidth="1"/>
    <col min="1538" max="1538" width="25.42578125" style="44" customWidth="1"/>
    <col min="1539" max="1539" width="12.5703125" style="44" customWidth="1"/>
    <col min="1540" max="1540" width="13.42578125" style="44" customWidth="1"/>
    <col min="1541" max="1541" width="8.42578125" style="44" customWidth="1"/>
    <col min="1542" max="1542" width="12.5703125" style="44" customWidth="1"/>
    <col min="1543" max="1543" width="10.7109375" style="44" customWidth="1"/>
    <col min="1544" max="1544" width="11.7109375" style="44" customWidth="1"/>
    <col min="1545" max="1545" width="10" style="44" customWidth="1"/>
    <col min="1546" max="1546" width="11.28515625" style="44" customWidth="1"/>
    <col min="1547" max="1552" width="11.7109375" style="44" customWidth="1"/>
    <col min="1553" max="1553" width="12.85546875" style="44" customWidth="1"/>
    <col min="1554" max="1554" width="12.140625" style="44" customWidth="1"/>
    <col min="1555" max="1792" width="9.140625" style="44"/>
    <col min="1793" max="1793" width="5.85546875" style="44" customWidth="1"/>
    <col min="1794" max="1794" width="25.42578125" style="44" customWidth="1"/>
    <col min="1795" max="1795" width="12.5703125" style="44" customWidth="1"/>
    <col min="1796" max="1796" width="13.42578125" style="44" customWidth="1"/>
    <col min="1797" max="1797" width="8.42578125" style="44" customWidth="1"/>
    <col min="1798" max="1798" width="12.5703125" style="44" customWidth="1"/>
    <col min="1799" max="1799" width="10.7109375" style="44" customWidth="1"/>
    <col min="1800" max="1800" width="11.7109375" style="44" customWidth="1"/>
    <col min="1801" max="1801" width="10" style="44" customWidth="1"/>
    <col min="1802" max="1802" width="11.28515625" style="44" customWidth="1"/>
    <col min="1803" max="1808" width="11.7109375" style="44" customWidth="1"/>
    <col min="1809" max="1809" width="12.85546875" style="44" customWidth="1"/>
    <col min="1810" max="1810" width="12.140625" style="44" customWidth="1"/>
    <col min="1811" max="2048" width="9.140625" style="44"/>
    <col min="2049" max="2049" width="5.85546875" style="44" customWidth="1"/>
    <col min="2050" max="2050" width="25.42578125" style="44" customWidth="1"/>
    <col min="2051" max="2051" width="12.5703125" style="44" customWidth="1"/>
    <col min="2052" max="2052" width="13.42578125" style="44" customWidth="1"/>
    <col min="2053" max="2053" width="8.42578125" style="44" customWidth="1"/>
    <col min="2054" max="2054" width="12.5703125" style="44" customWidth="1"/>
    <col min="2055" max="2055" width="10.7109375" style="44" customWidth="1"/>
    <col min="2056" max="2056" width="11.7109375" style="44" customWidth="1"/>
    <col min="2057" max="2057" width="10" style="44" customWidth="1"/>
    <col min="2058" max="2058" width="11.28515625" style="44" customWidth="1"/>
    <col min="2059" max="2064" width="11.7109375" style="44" customWidth="1"/>
    <col min="2065" max="2065" width="12.85546875" style="44" customWidth="1"/>
    <col min="2066" max="2066" width="12.140625" style="44" customWidth="1"/>
    <col min="2067" max="2304" width="9.140625" style="44"/>
    <col min="2305" max="2305" width="5.85546875" style="44" customWidth="1"/>
    <col min="2306" max="2306" width="25.42578125" style="44" customWidth="1"/>
    <col min="2307" max="2307" width="12.5703125" style="44" customWidth="1"/>
    <col min="2308" max="2308" width="13.42578125" style="44" customWidth="1"/>
    <col min="2309" max="2309" width="8.42578125" style="44" customWidth="1"/>
    <col min="2310" max="2310" width="12.5703125" style="44" customWidth="1"/>
    <col min="2311" max="2311" width="10.7109375" style="44" customWidth="1"/>
    <col min="2312" max="2312" width="11.7109375" style="44" customWidth="1"/>
    <col min="2313" max="2313" width="10" style="44" customWidth="1"/>
    <col min="2314" max="2314" width="11.28515625" style="44" customWidth="1"/>
    <col min="2315" max="2320" width="11.7109375" style="44" customWidth="1"/>
    <col min="2321" max="2321" width="12.85546875" style="44" customWidth="1"/>
    <col min="2322" max="2322" width="12.140625" style="44" customWidth="1"/>
    <col min="2323" max="2560" width="9.140625" style="44"/>
    <col min="2561" max="2561" width="5.85546875" style="44" customWidth="1"/>
    <col min="2562" max="2562" width="25.42578125" style="44" customWidth="1"/>
    <col min="2563" max="2563" width="12.5703125" style="44" customWidth="1"/>
    <col min="2564" max="2564" width="13.42578125" style="44" customWidth="1"/>
    <col min="2565" max="2565" width="8.42578125" style="44" customWidth="1"/>
    <col min="2566" max="2566" width="12.5703125" style="44" customWidth="1"/>
    <col min="2567" max="2567" width="10.7109375" style="44" customWidth="1"/>
    <col min="2568" max="2568" width="11.7109375" style="44" customWidth="1"/>
    <col min="2569" max="2569" width="10" style="44" customWidth="1"/>
    <col min="2570" max="2570" width="11.28515625" style="44" customWidth="1"/>
    <col min="2571" max="2576" width="11.7109375" style="44" customWidth="1"/>
    <col min="2577" max="2577" width="12.85546875" style="44" customWidth="1"/>
    <col min="2578" max="2578" width="12.140625" style="44" customWidth="1"/>
    <col min="2579" max="2816" width="9.140625" style="44"/>
    <col min="2817" max="2817" width="5.85546875" style="44" customWidth="1"/>
    <col min="2818" max="2818" width="25.42578125" style="44" customWidth="1"/>
    <col min="2819" max="2819" width="12.5703125" style="44" customWidth="1"/>
    <col min="2820" max="2820" width="13.42578125" style="44" customWidth="1"/>
    <col min="2821" max="2821" width="8.42578125" style="44" customWidth="1"/>
    <col min="2822" max="2822" width="12.5703125" style="44" customWidth="1"/>
    <col min="2823" max="2823" width="10.7109375" style="44" customWidth="1"/>
    <col min="2824" max="2824" width="11.7109375" style="44" customWidth="1"/>
    <col min="2825" max="2825" width="10" style="44" customWidth="1"/>
    <col min="2826" max="2826" width="11.28515625" style="44" customWidth="1"/>
    <col min="2827" max="2832" width="11.7109375" style="44" customWidth="1"/>
    <col min="2833" max="2833" width="12.85546875" style="44" customWidth="1"/>
    <col min="2834" max="2834" width="12.140625" style="44" customWidth="1"/>
    <col min="2835" max="3072" width="9.140625" style="44"/>
    <col min="3073" max="3073" width="5.85546875" style="44" customWidth="1"/>
    <col min="3074" max="3074" width="25.42578125" style="44" customWidth="1"/>
    <col min="3075" max="3075" width="12.5703125" style="44" customWidth="1"/>
    <col min="3076" max="3076" width="13.42578125" style="44" customWidth="1"/>
    <col min="3077" max="3077" width="8.42578125" style="44" customWidth="1"/>
    <col min="3078" max="3078" width="12.5703125" style="44" customWidth="1"/>
    <col min="3079" max="3079" width="10.7109375" style="44" customWidth="1"/>
    <col min="3080" max="3080" width="11.7109375" style="44" customWidth="1"/>
    <col min="3081" max="3081" width="10" style="44" customWidth="1"/>
    <col min="3082" max="3082" width="11.28515625" style="44" customWidth="1"/>
    <col min="3083" max="3088" width="11.7109375" style="44" customWidth="1"/>
    <col min="3089" max="3089" width="12.85546875" style="44" customWidth="1"/>
    <col min="3090" max="3090" width="12.140625" style="44" customWidth="1"/>
    <col min="3091" max="3328" width="9.140625" style="44"/>
    <col min="3329" max="3329" width="5.85546875" style="44" customWidth="1"/>
    <col min="3330" max="3330" width="25.42578125" style="44" customWidth="1"/>
    <col min="3331" max="3331" width="12.5703125" style="44" customWidth="1"/>
    <col min="3332" max="3332" width="13.42578125" style="44" customWidth="1"/>
    <col min="3333" max="3333" width="8.42578125" style="44" customWidth="1"/>
    <col min="3334" max="3334" width="12.5703125" style="44" customWidth="1"/>
    <col min="3335" max="3335" width="10.7109375" style="44" customWidth="1"/>
    <col min="3336" max="3336" width="11.7109375" style="44" customWidth="1"/>
    <col min="3337" max="3337" width="10" style="44" customWidth="1"/>
    <col min="3338" max="3338" width="11.28515625" style="44" customWidth="1"/>
    <col min="3339" max="3344" width="11.7109375" style="44" customWidth="1"/>
    <col min="3345" max="3345" width="12.85546875" style="44" customWidth="1"/>
    <col min="3346" max="3346" width="12.140625" style="44" customWidth="1"/>
    <col min="3347" max="3584" width="9.140625" style="44"/>
    <col min="3585" max="3585" width="5.85546875" style="44" customWidth="1"/>
    <col min="3586" max="3586" width="25.42578125" style="44" customWidth="1"/>
    <col min="3587" max="3587" width="12.5703125" style="44" customWidth="1"/>
    <col min="3588" max="3588" width="13.42578125" style="44" customWidth="1"/>
    <col min="3589" max="3589" width="8.42578125" style="44" customWidth="1"/>
    <col min="3590" max="3590" width="12.5703125" style="44" customWidth="1"/>
    <col min="3591" max="3591" width="10.7109375" style="44" customWidth="1"/>
    <col min="3592" max="3592" width="11.7109375" style="44" customWidth="1"/>
    <col min="3593" max="3593" width="10" style="44" customWidth="1"/>
    <col min="3594" max="3594" width="11.28515625" style="44" customWidth="1"/>
    <col min="3595" max="3600" width="11.7109375" style="44" customWidth="1"/>
    <col min="3601" max="3601" width="12.85546875" style="44" customWidth="1"/>
    <col min="3602" max="3602" width="12.140625" style="44" customWidth="1"/>
    <col min="3603" max="3840" width="9.140625" style="44"/>
    <col min="3841" max="3841" width="5.85546875" style="44" customWidth="1"/>
    <col min="3842" max="3842" width="25.42578125" style="44" customWidth="1"/>
    <col min="3843" max="3843" width="12.5703125" style="44" customWidth="1"/>
    <col min="3844" max="3844" width="13.42578125" style="44" customWidth="1"/>
    <col min="3845" max="3845" width="8.42578125" style="44" customWidth="1"/>
    <col min="3846" max="3846" width="12.5703125" style="44" customWidth="1"/>
    <col min="3847" max="3847" width="10.7109375" style="44" customWidth="1"/>
    <col min="3848" max="3848" width="11.7109375" style="44" customWidth="1"/>
    <col min="3849" max="3849" width="10" style="44" customWidth="1"/>
    <col min="3850" max="3850" width="11.28515625" style="44" customWidth="1"/>
    <col min="3851" max="3856" width="11.7109375" style="44" customWidth="1"/>
    <col min="3857" max="3857" width="12.85546875" style="44" customWidth="1"/>
    <col min="3858" max="3858" width="12.140625" style="44" customWidth="1"/>
    <col min="3859" max="4096" width="9.140625" style="44"/>
    <col min="4097" max="4097" width="5.85546875" style="44" customWidth="1"/>
    <col min="4098" max="4098" width="25.42578125" style="44" customWidth="1"/>
    <col min="4099" max="4099" width="12.5703125" style="44" customWidth="1"/>
    <col min="4100" max="4100" width="13.42578125" style="44" customWidth="1"/>
    <col min="4101" max="4101" width="8.42578125" style="44" customWidth="1"/>
    <col min="4102" max="4102" width="12.5703125" style="44" customWidth="1"/>
    <col min="4103" max="4103" width="10.7109375" style="44" customWidth="1"/>
    <col min="4104" max="4104" width="11.7109375" style="44" customWidth="1"/>
    <col min="4105" max="4105" width="10" style="44" customWidth="1"/>
    <col min="4106" max="4106" width="11.28515625" style="44" customWidth="1"/>
    <col min="4107" max="4112" width="11.7109375" style="44" customWidth="1"/>
    <col min="4113" max="4113" width="12.85546875" style="44" customWidth="1"/>
    <col min="4114" max="4114" width="12.140625" style="44" customWidth="1"/>
    <col min="4115" max="4352" width="9.140625" style="44"/>
    <col min="4353" max="4353" width="5.85546875" style="44" customWidth="1"/>
    <col min="4354" max="4354" width="25.42578125" style="44" customWidth="1"/>
    <col min="4355" max="4355" width="12.5703125" style="44" customWidth="1"/>
    <col min="4356" max="4356" width="13.42578125" style="44" customWidth="1"/>
    <col min="4357" max="4357" width="8.42578125" style="44" customWidth="1"/>
    <col min="4358" max="4358" width="12.5703125" style="44" customWidth="1"/>
    <col min="4359" max="4359" width="10.7109375" style="44" customWidth="1"/>
    <col min="4360" max="4360" width="11.7109375" style="44" customWidth="1"/>
    <col min="4361" max="4361" width="10" style="44" customWidth="1"/>
    <col min="4362" max="4362" width="11.28515625" style="44" customWidth="1"/>
    <col min="4363" max="4368" width="11.7109375" style="44" customWidth="1"/>
    <col min="4369" max="4369" width="12.85546875" style="44" customWidth="1"/>
    <col min="4370" max="4370" width="12.140625" style="44" customWidth="1"/>
    <col min="4371" max="4608" width="9.140625" style="44"/>
    <col min="4609" max="4609" width="5.85546875" style="44" customWidth="1"/>
    <col min="4610" max="4610" width="25.42578125" style="44" customWidth="1"/>
    <col min="4611" max="4611" width="12.5703125" style="44" customWidth="1"/>
    <col min="4612" max="4612" width="13.42578125" style="44" customWidth="1"/>
    <col min="4613" max="4613" width="8.42578125" style="44" customWidth="1"/>
    <col min="4614" max="4614" width="12.5703125" style="44" customWidth="1"/>
    <col min="4615" max="4615" width="10.7109375" style="44" customWidth="1"/>
    <col min="4616" max="4616" width="11.7109375" style="44" customWidth="1"/>
    <col min="4617" max="4617" width="10" style="44" customWidth="1"/>
    <col min="4618" max="4618" width="11.28515625" style="44" customWidth="1"/>
    <col min="4619" max="4624" width="11.7109375" style="44" customWidth="1"/>
    <col min="4625" max="4625" width="12.85546875" style="44" customWidth="1"/>
    <col min="4626" max="4626" width="12.140625" style="44" customWidth="1"/>
    <col min="4627" max="4864" width="9.140625" style="44"/>
    <col min="4865" max="4865" width="5.85546875" style="44" customWidth="1"/>
    <col min="4866" max="4866" width="25.42578125" style="44" customWidth="1"/>
    <col min="4867" max="4867" width="12.5703125" style="44" customWidth="1"/>
    <col min="4868" max="4868" width="13.42578125" style="44" customWidth="1"/>
    <col min="4869" max="4869" width="8.42578125" style="44" customWidth="1"/>
    <col min="4870" max="4870" width="12.5703125" style="44" customWidth="1"/>
    <col min="4871" max="4871" width="10.7109375" style="44" customWidth="1"/>
    <col min="4872" max="4872" width="11.7109375" style="44" customWidth="1"/>
    <col min="4873" max="4873" width="10" style="44" customWidth="1"/>
    <col min="4874" max="4874" width="11.28515625" style="44" customWidth="1"/>
    <col min="4875" max="4880" width="11.7109375" style="44" customWidth="1"/>
    <col min="4881" max="4881" width="12.85546875" style="44" customWidth="1"/>
    <col min="4882" max="4882" width="12.140625" style="44" customWidth="1"/>
    <col min="4883" max="5120" width="9.140625" style="44"/>
    <col min="5121" max="5121" width="5.85546875" style="44" customWidth="1"/>
    <col min="5122" max="5122" width="25.42578125" style="44" customWidth="1"/>
    <col min="5123" max="5123" width="12.5703125" style="44" customWidth="1"/>
    <col min="5124" max="5124" width="13.42578125" style="44" customWidth="1"/>
    <col min="5125" max="5125" width="8.42578125" style="44" customWidth="1"/>
    <col min="5126" max="5126" width="12.5703125" style="44" customWidth="1"/>
    <col min="5127" max="5127" width="10.7109375" style="44" customWidth="1"/>
    <col min="5128" max="5128" width="11.7109375" style="44" customWidth="1"/>
    <col min="5129" max="5129" width="10" style="44" customWidth="1"/>
    <col min="5130" max="5130" width="11.28515625" style="44" customWidth="1"/>
    <col min="5131" max="5136" width="11.7109375" style="44" customWidth="1"/>
    <col min="5137" max="5137" width="12.85546875" style="44" customWidth="1"/>
    <col min="5138" max="5138" width="12.140625" style="44" customWidth="1"/>
    <col min="5139" max="5376" width="9.140625" style="44"/>
    <col min="5377" max="5377" width="5.85546875" style="44" customWidth="1"/>
    <col min="5378" max="5378" width="25.42578125" style="44" customWidth="1"/>
    <col min="5379" max="5379" width="12.5703125" style="44" customWidth="1"/>
    <col min="5380" max="5380" width="13.42578125" style="44" customWidth="1"/>
    <col min="5381" max="5381" width="8.42578125" style="44" customWidth="1"/>
    <col min="5382" max="5382" width="12.5703125" style="44" customWidth="1"/>
    <col min="5383" max="5383" width="10.7109375" style="44" customWidth="1"/>
    <col min="5384" max="5384" width="11.7109375" style="44" customWidth="1"/>
    <col min="5385" max="5385" width="10" style="44" customWidth="1"/>
    <col min="5386" max="5386" width="11.28515625" style="44" customWidth="1"/>
    <col min="5387" max="5392" width="11.7109375" style="44" customWidth="1"/>
    <col min="5393" max="5393" width="12.85546875" style="44" customWidth="1"/>
    <col min="5394" max="5394" width="12.140625" style="44" customWidth="1"/>
    <col min="5395" max="5632" width="9.140625" style="44"/>
    <col min="5633" max="5633" width="5.85546875" style="44" customWidth="1"/>
    <col min="5634" max="5634" width="25.42578125" style="44" customWidth="1"/>
    <col min="5635" max="5635" width="12.5703125" style="44" customWidth="1"/>
    <col min="5636" max="5636" width="13.42578125" style="44" customWidth="1"/>
    <col min="5637" max="5637" width="8.42578125" style="44" customWidth="1"/>
    <col min="5638" max="5638" width="12.5703125" style="44" customWidth="1"/>
    <col min="5639" max="5639" width="10.7109375" style="44" customWidth="1"/>
    <col min="5640" max="5640" width="11.7109375" style="44" customWidth="1"/>
    <col min="5641" max="5641" width="10" style="44" customWidth="1"/>
    <col min="5642" max="5642" width="11.28515625" style="44" customWidth="1"/>
    <col min="5643" max="5648" width="11.7109375" style="44" customWidth="1"/>
    <col min="5649" max="5649" width="12.85546875" style="44" customWidth="1"/>
    <col min="5650" max="5650" width="12.140625" style="44" customWidth="1"/>
    <col min="5651" max="5888" width="9.140625" style="44"/>
    <col min="5889" max="5889" width="5.85546875" style="44" customWidth="1"/>
    <col min="5890" max="5890" width="25.42578125" style="44" customWidth="1"/>
    <col min="5891" max="5891" width="12.5703125" style="44" customWidth="1"/>
    <col min="5892" max="5892" width="13.42578125" style="44" customWidth="1"/>
    <col min="5893" max="5893" width="8.42578125" style="44" customWidth="1"/>
    <col min="5894" max="5894" width="12.5703125" style="44" customWidth="1"/>
    <col min="5895" max="5895" width="10.7109375" style="44" customWidth="1"/>
    <col min="5896" max="5896" width="11.7109375" style="44" customWidth="1"/>
    <col min="5897" max="5897" width="10" style="44" customWidth="1"/>
    <col min="5898" max="5898" width="11.28515625" style="44" customWidth="1"/>
    <col min="5899" max="5904" width="11.7109375" style="44" customWidth="1"/>
    <col min="5905" max="5905" width="12.85546875" style="44" customWidth="1"/>
    <col min="5906" max="5906" width="12.140625" style="44" customWidth="1"/>
    <col min="5907" max="6144" width="9.140625" style="44"/>
    <col min="6145" max="6145" width="5.85546875" style="44" customWidth="1"/>
    <col min="6146" max="6146" width="25.42578125" style="44" customWidth="1"/>
    <col min="6147" max="6147" width="12.5703125" style="44" customWidth="1"/>
    <col min="6148" max="6148" width="13.42578125" style="44" customWidth="1"/>
    <col min="6149" max="6149" width="8.42578125" style="44" customWidth="1"/>
    <col min="6150" max="6150" width="12.5703125" style="44" customWidth="1"/>
    <col min="6151" max="6151" width="10.7109375" style="44" customWidth="1"/>
    <col min="6152" max="6152" width="11.7109375" style="44" customWidth="1"/>
    <col min="6153" max="6153" width="10" style="44" customWidth="1"/>
    <col min="6154" max="6154" width="11.28515625" style="44" customWidth="1"/>
    <col min="6155" max="6160" width="11.7109375" style="44" customWidth="1"/>
    <col min="6161" max="6161" width="12.85546875" style="44" customWidth="1"/>
    <col min="6162" max="6162" width="12.140625" style="44" customWidth="1"/>
    <col min="6163" max="6400" width="9.140625" style="44"/>
    <col min="6401" max="6401" width="5.85546875" style="44" customWidth="1"/>
    <col min="6402" max="6402" width="25.42578125" style="44" customWidth="1"/>
    <col min="6403" max="6403" width="12.5703125" style="44" customWidth="1"/>
    <col min="6404" max="6404" width="13.42578125" style="44" customWidth="1"/>
    <col min="6405" max="6405" width="8.42578125" style="44" customWidth="1"/>
    <col min="6406" max="6406" width="12.5703125" style="44" customWidth="1"/>
    <col min="6407" max="6407" width="10.7109375" style="44" customWidth="1"/>
    <col min="6408" max="6408" width="11.7109375" style="44" customWidth="1"/>
    <col min="6409" max="6409" width="10" style="44" customWidth="1"/>
    <col min="6410" max="6410" width="11.28515625" style="44" customWidth="1"/>
    <col min="6411" max="6416" width="11.7109375" style="44" customWidth="1"/>
    <col min="6417" max="6417" width="12.85546875" style="44" customWidth="1"/>
    <col min="6418" max="6418" width="12.140625" style="44" customWidth="1"/>
    <col min="6419" max="6656" width="9.140625" style="44"/>
    <col min="6657" max="6657" width="5.85546875" style="44" customWidth="1"/>
    <col min="6658" max="6658" width="25.42578125" style="44" customWidth="1"/>
    <col min="6659" max="6659" width="12.5703125" style="44" customWidth="1"/>
    <col min="6660" max="6660" width="13.42578125" style="44" customWidth="1"/>
    <col min="6661" max="6661" width="8.42578125" style="44" customWidth="1"/>
    <col min="6662" max="6662" width="12.5703125" style="44" customWidth="1"/>
    <col min="6663" max="6663" width="10.7109375" style="44" customWidth="1"/>
    <col min="6664" max="6664" width="11.7109375" style="44" customWidth="1"/>
    <col min="6665" max="6665" width="10" style="44" customWidth="1"/>
    <col min="6666" max="6666" width="11.28515625" style="44" customWidth="1"/>
    <col min="6667" max="6672" width="11.7109375" style="44" customWidth="1"/>
    <col min="6673" max="6673" width="12.85546875" style="44" customWidth="1"/>
    <col min="6674" max="6674" width="12.140625" style="44" customWidth="1"/>
    <col min="6675" max="6912" width="9.140625" style="44"/>
    <col min="6913" max="6913" width="5.85546875" style="44" customWidth="1"/>
    <col min="6914" max="6914" width="25.42578125" style="44" customWidth="1"/>
    <col min="6915" max="6915" width="12.5703125" style="44" customWidth="1"/>
    <col min="6916" max="6916" width="13.42578125" style="44" customWidth="1"/>
    <col min="6917" max="6917" width="8.42578125" style="44" customWidth="1"/>
    <col min="6918" max="6918" width="12.5703125" style="44" customWidth="1"/>
    <col min="6919" max="6919" width="10.7109375" style="44" customWidth="1"/>
    <col min="6920" max="6920" width="11.7109375" style="44" customWidth="1"/>
    <col min="6921" max="6921" width="10" style="44" customWidth="1"/>
    <col min="6922" max="6922" width="11.28515625" style="44" customWidth="1"/>
    <col min="6923" max="6928" width="11.7109375" style="44" customWidth="1"/>
    <col min="6929" max="6929" width="12.85546875" style="44" customWidth="1"/>
    <col min="6930" max="6930" width="12.140625" style="44" customWidth="1"/>
    <col min="6931" max="7168" width="9.140625" style="44"/>
    <col min="7169" max="7169" width="5.85546875" style="44" customWidth="1"/>
    <col min="7170" max="7170" width="25.42578125" style="44" customWidth="1"/>
    <col min="7171" max="7171" width="12.5703125" style="44" customWidth="1"/>
    <col min="7172" max="7172" width="13.42578125" style="44" customWidth="1"/>
    <col min="7173" max="7173" width="8.42578125" style="44" customWidth="1"/>
    <col min="7174" max="7174" width="12.5703125" style="44" customWidth="1"/>
    <col min="7175" max="7175" width="10.7109375" style="44" customWidth="1"/>
    <col min="7176" max="7176" width="11.7109375" style="44" customWidth="1"/>
    <col min="7177" max="7177" width="10" style="44" customWidth="1"/>
    <col min="7178" max="7178" width="11.28515625" style="44" customWidth="1"/>
    <col min="7179" max="7184" width="11.7109375" style="44" customWidth="1"/>
    <col min="7185" max="7185" width="12.85546875" style="44" customWidth="1"/>
    <col min="7186" max="7186" width="12.140625" style="44" customWidth="1"/>
    <col min="7187" max="7424" width="9.140625" style="44"/>
    <col min="7425" max="7425" width="5.85546875" style="44" customWidth="1"/>
    <col min="7426" max="7426" width="25.42578125" style="44" customWidth="1"/>
    <col min="7427" max="7427" width="12.5703125" style="44" customWidth="1"/>
    <col min="7428" max="7428" width="13.42578125" style="44" customWidth="1"/>
    <col min="7429" max="7429" width="8.42578125" style="44" customWidth="1"/>
    <col min="7430" max="7430" width="12.5703125" style="44" customWidth="1"/>
    <col min="7431" max="7431" width="10.7109375" style="44" customWidth="1"/>
    <col min="7432" max="7432" width="11.7109375" style="44" customWidth="1"/>
    <col min="7433" max="7433" width="10" style="44" customWidth="1"/>
    <col min="7434" max="7434" width="11.28515625" style="44" customWidth="1"/>
    <col min="7435" max="7440" width="11.7109375" style="44" customWidth="1"/>
    <col min="7441" max="7441" width="12.85546875" style="44" customWidth="1"/>
    <col min="7442" max="7442" width="12.140625" style="44" customWidth="1"/>
    <col min="7443" max="7680" width="9.140625" style="44"/>
    <col min="7681" max="7681" width="5.85546875" style="44" customWidth="1"/>
    <col min="7682" max="7682" width="25.42578125" style="44" customWidth="1"/>
    <col min="7683" max="7683" width="12.5703125" style="44" customWidth="1"/>
    <col min="7684" max="7684" width="13.42578125" style="44" customWidth="1"/>
    <col min="7685" max="7685" width="8.42578125" style="44" customWidth="1"/>
    <col min="7686" max="7686" width="12.5703125" style="44" customWidth="1"/>
    <col min="7687" max="7687" width="10.7109375" style="44" customWidth="1"/>
    <col min="7688" max="7688" width="11.7109375" style="44" customWidth="1"/>
    <col min="7689" max="7689" width="10" style="44" customWidth="1"/>
    <col min="7690" max="7690" width="11.28515625" style="44" customWidth="1"/>
    <col min="7691" max="7696" width="11.7109375" style="44" customWidth="1"/>
    <col min="7697" max="7697" width="12.85546875" style="44" customWidth="1"/>
    <col min="7698" max="7698" width="12.140625" style="44" customWidth="1"/>
    <col min="7699" max="7936" width="9.140625" style="44"/>
    <col min="7937" max="7937" width="5.85546875" style="44" customWidth="1"/>
    <col min="7938" max="7938" width="25.42578125" style="44" customWidth="1"/>
    <col min="7939" max="7939" width="12.5703125" style="44" customWidth="1"/>
    <col min="7940" max="7940" width="13.42578125" style="44" customWidth="1"/>
    <col min="7941" max="7941" width="8.42578125" style="44" customWidth="1"/>
    <col min="7942" max="7942" width="12.5703125" style="44" customWidth="1"/>
    <col min="7943" max="7943" width="10.7109375" style="44" customWidth="1"/>
    <col min="7944" max="7944" width="11.7109375" style="44" customWidth="1"/>
    <col min="7945" max="7945" width="10" style="44" customWidth="1"/>
    <col min="7946" max="7946" width="11.28515625" style="44" customWidth="1"/>
    <col min="7947" max="7952" width="11.7109375" style="44" customWidth="1"/>
    <col min="7953" max="7953" width="12.85546875" style="44" customWidth="1"/>
    <col min="7954" max="7954" width="12.140625" style="44" customWidth="1"/>
    <col min="7955" max="8192" width="9.140625" style="44"/>
    <col min="8193" max="8193" width="5.85546875" style="44" customWidth="1"/>
    <col min="8194" max="8194" width="25.42578125" style="44" customWidth="1"/>
    <col min="8195" max="8195" width="12.5703125" style="44" customWidth="1"/>
    <col min="8196" max="8196" width="13.42578125" style="44" customWidth="1"/>
    <col min="8197" max="8197" width="8.42578125" style="44" customWidth="1"/>
    <col min="8198" max="8198" width="12.5703125" style="44" customWidth="1"/>
    <col min="8199" max="8199" width="10.7109375" style="44" customWidth="1"/>
    <col min="8200" max="8200" width="11.7109375" style="44" customWidth="1"/>
    <col min="8201" max="8201" width="10" style="44" customWidth="1"/>
    <col min="8202" max="8202" width="11.28515625" style="44" customWidth="1"/>
    <col min="8203" max="8208" width="11.7109375" style="44" customWidth="1"/>
    <col min="8209" max="8209" width="12.85546875" style="44" customWidth="1"/>
    <col min="8210" max="8210" width="12.140625" style="44" customWidth="1"/>
    <col min="8211" max="8448" width="9.140625" style="44"/>
    <col min="8449" max="8449" width="5.85546875" style="44" customWidth="1"/>
    <col min="8450" max="8450" width="25.42578125" style="44" customWidth="1"/>
    <col min="8451" max="8451" width="12.5703125" style="44" customWidth="1"/>
    <col min="8452" max="8452" width="13.42578125" style="44" customWidth="1"/>
    <col min="8453" max="8453" width="8.42578125" style="44" customWidth="1"/>
    <col min="8454" max="8454" width="12.5703125" style="44" customWidth="1"/>
    <col min="8455" max="8455" width="10.7109375" style="44" customWidth="1"/>
    <col min="8456" max="8456" width="11.7109375" style="44" customWidth="1"/>
    <col min="8457" max="8457" width="10" style="44" customWidth="1"/>
    <col min="8458" max="8458" width="11.28515625" style="44" customWidth="1"/>
    <col min="8459" max="8464" width="11.7109375" style="44" customWidth="1"/>
    <col min="8465" max="8465" width="12.85546875" style="44" customWidth="1"/>
    <col min="8466" max="8466" width="12.140625" style="44" customWidth="1"/>
    <col min="8467" max="8704" width="9.140625" style="44"/>
    <col min="8705" max="8705" width="5.85546875" style="44" customWidth="1"/>
    <col min="8706" max="8706" width="25.42578125" style="44" customWidth="1"/>
    <col min="8707" max="8707" width="12.5703125" style="44" customWidth="1"/>
    <col min="8708" max="8708" width="13.42578125" style="44" customWidth="1"/>
    <col min="8709" max="8709" width="8.42578125" style="44" customWidth="1"/>
    <col min="8710" max="8710" width="12.5703125" style="44" customWidth="1"/>
    <col min="8711" max="8711" width="10.7109375" style="44" customWidth="1"/>
    <col min="8712" max="8712" width="11.7109375" style="44" customWidth="1"/>
    <col min="8713" max="8713" width="10" style="44" customWidth="1"/>
    <col min="8714" max="8714" width="11.28515625" style="44" customWidth="1"/>
    <col min="8715" max="8720" width="11.7109375" style="44" customWidth="1"/>
    <col min="8721" max="8721" width="12.85546875" style="44" customWidth="1"/>
    <col min="8722" max="8722" width="12.140625" style="44" customWidth="1"/>
    <col min="8723" max="8960" width="9.140625" style="44"/>
    <col min="8961" max="8961" width="5.85546875" style="44" customWidth="1"/>
    <col min="8962" max="8962" width="25.42578125" style="44" customWidth="1"/>
    <col min="8963" max="8963" width="12.5703125" style="44" customWidth="1"/>
    <col min="8964" max="8964" width="13.42578125" style="44" customWidth="1"/>
    <col min="8965" max="8965" width="8.42578125" style="44" customWidth="1"/>
    <col min="8966" max="8966" width="12.5703125" style="44" customWidth="1"/>
    <col min="8967" max="8967" width="10.7109375" style="44" customWidth="1"/>
    <col min="8968" max="8968" width="11.7109375" style="44" customWidth="1"/>
    <col min="8969" max="8969" width="10" style="44" customWidth="1"/>
    <col min="8970" max="8970" width="11.28515625" style="44" customWidth="1"/>
    <col min="8971" max="8976" width="11.7109375" style="44" customWidth="1"/>
    <col min="8977" max="8977" width="12.85546875" style="44" customWidth="1"/>
    <col min="8978" max="8978" width="12.140625" style="44" customWidth="1"/>
    <col min="8979" max="9216" width="9.140625" style="44"/>
    <col min="9217" max="9217" width="5.85546875" style="44" customWidth="1"/>
    <col min="9218" max="9218" width="25.42578125" style="44" customWidth="1"/>
    <col min="9219" max="9219" width="12.5703125" style="44" customWidth="1"/>
    <col min="9220" max="9220" width="13.42578125" style="44" customWidth="1"/>
    <col min="9221" max="9221" width="8.42578125" style="44" customWidth="1"/>
    <col min="9222" max="9222" width="12.5703125" style="44" customWidth="1"/>
    <col min="9223" max="9223" width="10.7109375" style="44" customWidth="1"/>
    <col min="9224" max="9224" width="11.7109375" style="44" customWidth="1"/>
    <col min="9225" max="9225" width="10" style="44" customWidth="1"/>
    <col min="9226" max="9226" width="11.28515625" style="44" customWidth="1"/>
    <col min="9227" max="9232" width="11.7109375" style="44" customWidth="1"/>
    <col min="9233" max="9233" width="12.85546875" style="44" customWidth="1"/>
    <col min="9234" max="9234" width="12.140625" style="44" customWidth="1"/>
    <col min="9235" max="9472" width="9.140625" style="44"/>
    <col min="9473" max="9473" width="5.85546875" style="44" customWidth="1"/>
    <col min="9474" max="9474" width="25.42578125" style="44" customWidth="1"/>
    <col min="9475" max="9475" width="12.5703125" style="44" customWidth="1"/>
    <col min="9476" max="9476" width="13.42578125" style="44" customWidth="1"/>
    <col min="9477" max="9477" width="8.42578125" style="44" customWidth="1"/>
    <col min="9478" max="9478" width="12.5703125" style="44" customWidth="1"/>
    <col min="9479" max="9479" width="10.7109375" style="44" customWidth="1"/>
    <col min="9480" max="9480" width="11.7109375" style="44" customWidth="1"/>
    <col min="9481" max="9481" width="10" style="44" customWidth="1"/>
    <col min="9482" max="9482" width="11.28515625" style="44" customWidth="1"/>
    <col min="9483" max="9488" width="11.7109375" style="44" customWidth="1"/>
    <col min="9489" max="9489" width="12.85546875" style="44" customWidth="1"/>
    <col min="9490" max="9490" width="12.140625" style="44" customWidth="1"/>
    <col min="9491" max="9728" width="9.140625" style="44"/>
    <col min="9729" max="9729" width="5.85546875" style="44" customWidth="1"/>
    <col min="9730" max="9730" width="25.42578125" style="44" customWidth="1"/>
    <col min="9731" max="9731" width="12.5703125" style="44" customWidth="1"/>
    <col min="9732" max="9732" width="13.42578125" style="44" customWidth="1"/>
    <col min="9733" max="9733" width="8.42578125" style="44" customWidth="1"/>
    <col min="9734" max="9734" width="12.5703125" style="44" customWidth="1"/>
    <col min="9735" max="9735" width="10.7109375" style="44" customWidth="1"/>
    <col min="9736" max="9736" width="11.7109375" style="44" customWidth="1"/>
    <col min="9737" max="9737" width="10" style="44" customWidth="1"/>
    <col min="9738" max="9738" width="11.28515625" style="44" customWidth="1"/>
    <col min="9739" max="9744" width="11.7109375" style="44" customWidth="1"/>
    <col min="9745" max="9745" width="12.85546875" style="44" customWidth="1"/>
    <col min="9746" max="9746" width="12.140625" style="44" customWidth="1"/>
    <col min="9747" max="9984" width="9.140625" style="44"/>
    <col min="9985" max="9985" width="5.85546875" style="44" customWidth="1"/>
    <col min="9986" max="9986" width="25.42578125" style="44" customWidth="1"/>
    <col min="9987" max="9987" width="12.5703125" style="44" customWidth="1"/>
    <col min="9988" max="9988" width="13.42578125" style="44" customWidth="1"/>
    <col min="9989" max="9989" width="8.42578125" style="44" customWidth="1"/>
    <col min="9990" max="9990" width="12.5703125" style="44" customWidth="1"/>
    <col min="9991" max="9991" width="10.7109375" style="44" customWidth="1"/>
    <col min="9992" max="9992" width="11.7109375" style="44" customWidth="1"/>
    <col min="9993" max="9993" width="10" style="44" customWidth="1"/>
    <col min="9994" max="9994" width="11.28515625" style="44" customWidth="1"/>
    <col min="9995" max="10000" width="11.7109375" style="44" customWidth="1"/>
    <col min="10001" max="10001" width="12.85546875" style="44" customWidth="1"/>
    <col min="10002" max="10002" width="12.140625" style="44" customWidth="1"/>
    <col min="10003" max="10240" width="9.140625" style="44"/>
    <col min="10241" max="10241" width="5.85546875" style="44" customWidth="1"/>
    <col min="10242" max="10242" width="25.42578125" style="44" customWidth="1"/>
    <col min="10243" max="10243" width="12.5703125" style="44" customWidth="1"/>
    <col min="10244" max="10244" width="13.42578125" style="44" customWidth="1"/>
    <col min="10245" max="10245" width="8.42578125" style="44" customWidth="1"/>
    <col min="10246" max="10246" width="12.5703125" style="44" customWidth="1"/>
    <col min="10247" max="10247" width="10.7109375" style="44" customWidth="1"/>
    <col min="10248" max="10248" width="11.7109375" style="44" customWidth="1"/>
    <col min="10249" max="10249" width="10" style="44" customWidth="1"/>
    <col min="10250" max="10250" width="11.28515625" style="44" customWidth="1"/>
    <col min="10251" max="10256" width="11.7109375" style="44" customWidth="1"/>
    <col min="10257" max="10257" width="12.85546875" style="44" customWidth="1"/>
    <col min="10258" max="10258" width="12.140625" style="44" customWidth="1"/>
    <col min="10259" max="10496" width="9.140625" style="44"/>
    <col min="10497" max="10497" width="5.85546875" style="44" customWidth="1"/>
    <col min="10498" max="10498" width="25.42578125" style="44" customWidth="1"/>
    <col min="10499" max="10499" width="12.5703125" style="44" customWidth="1"/>
    <col min="10500" max="10500" width="13.42578125" style="44" customWidth="1"/>
    <col min="10501" max="10501" width="8.42578125" style="44" customWidth="1"/>
    <col min="10502" max="10502" width="12.5703125" style="44" customWidth="1"/>
    <col min="10503" max="10503" width="10.7109375" style="44" customWidth="1"/>
    <col min="10504" max="10504" width="11.7109375" style="44" customWidth="1"/>
    <col min="10505" max="10505" width="10" style="44" customWidth="1"/>
    <col min="10506" max="10506" width="11.28515625" style="44" customWidth="1"/>
    <col min="10507" max="10512" width="11.7109375" style="44" customWidth="1"/>
    <col min="10513" max="10513" width="12.85546875" style="44" customWidth="1"/>
    <col min="10514" max="10514" width="12.140625" style="44" customWidth="1"/>
    <col min="10515" max="10752" width="9.140625" style="44"/>
    <col min="10753" max="10753" width="5.85546875" style="44" customWidth="1"/>
    <col min="10754" max="10754" width="25.42578125" style="44" customWidth="1"/>
    <col min="10755" max="10755" width="12.5703125" style="44" customWidth="1"/>
    <col min="10756" max="10756" width="13.42578125" style="44" customWidth="1"/>
    <col min="10757" max="10757" width="8.42578125" style="44" customWidth="1"/>
    <col min="10758" max="10758" width="12.5703125" style="44" customWidth="1"/>
    <col min="10759" max="10759" width="10.7109375" style="44" customWidth="1"/>
    <col min="10760" max="10760" width="11.7109375" style="44" customWidth="1"/>
    <col min="10761" max="10761" width="10" style="44" customWidth="1"/>
    <col min="10762" max="10762" width="11.28515625" style="44" customWidth="1"/>
    <col min="10763" max="10768" width="11.7109375" style="44" customWidth="1"/>
    <col min="10769" max="10769" width="12.85546875" style="44" customWidth="1"/>
    <col min="10770" max="10770" width="12.140625" style="44" customWidth="1"/>
    <col min="10771" max="11008" width="9.140625" style="44"/>
    <col min="11009" max="11009" width="5.85546875" style="44" customWidth="1"/>
    <col min="11010" max="11010" width="25.42578125" style="44" customWidth="1"/>
    <col min="11011" max="11011" width="12.5703125" style="44" customWidth="1"/>
    <col min="11012" max="11012" width="13.42578125" style="44" customWidth="1"/>
    <col min="11013" max="11013" width="8.42578125" style="44" customWidth="1"/>
    <col min="11014" max="11014" width="12.5703125" style="44" customWidth="1"/>
    <col min="11015" max="11015" width="10.7109375" style="44" customWidth="1"/>
    <col min="11016" max="11016" width="11.7109375" style="44" customWidth="1"/>
    <col min="11017" max="11017" width="10" style="44" customWidth="1"/>
    <col min="11018" max="11018" width="11.28515625" style="44" customWidth="1"/>
    <col min="11019" max="11024" width="11.7109375" style="44" customWidth="1"/>
    <col min="11025" max="11025" width="12.85546875" style="44" customWidth="1"/>
    <col min="11026" max="11026" width="12.140625" style="44" customWidth="1"/>
    <col min="11027" max="11264" width="9.140625" style="44"/>
    <col min="11265" max="11265" width="5.85546875" style="44" customWidth="1"/>
    <col min="11266" max="11266" width="25.42578125" style="44" customWidth="1"/>
    <col min="11267" max="11267" width="12.5703125" style="44" customWidth="1"/>
    <col min="11268" max="11268" width="13.42578125" style="44" customWidth="1"/>
    <col min="11269" max="11269" width="8.42578125" style="44" customWidth="1"/>
    <col min="11270" max="11270" width="12.5703125" style="44" customWidth="1"/>
    <col min="11271" max="11271" width="10.7109375" style="44" customWidth="1"/>
    <col min="11272" max="11272" width="11.7109375" style="44" customWidth="1"/>
    <col min="11273" max="11273" width="10" style="44" customWidth="1"/>
    <col min="11274" max="11274" width="11.28515625" style="44" customWidth="1"/>
    <col min="11275" max="11280" width="11.7109375" style="44" customWidth="1"/>
    <col min="11281" max="11281" width="12.85546875" style="44" customWidth="1"/>
    <col min="11282" max="11282" width="12.140625" style="44" customWidth="1"/>
    <col min="11283" max="11520" width="9.140625" style="44"/>
    <col min="11521" max="11521" width="5.85546875" style="44" customWidth="1"/>
    <col min="11522" max="11522" width="25.42578125" style="44" customWidth="1"/>
    <col min="11523" max="11523" width="12.5703125" style="44" customWidth="1"/>
    <col min="11524" max="11524" width="13.42578125" style="44" customWidth="1"/>
    <col min="11525" max="11525" width="8.42578125" style="44" customWidth="1"/>
    <col min="11526" max="11526" width="12.5703125" style="44" customWidth="1"/>
    <col min="11527" max="11527" width="10.7109375" style="44" customWidth="1"/>
    <col min="11528" max="11528" width="11.7109375" style="44" customWidth="1"/>
    <col min="11529" max="11529" width="10" style="44" customWidth="1"/>
    <col min="11530" max="11530" width="11.28515625" style="44" customWidth="1"/>
    <col min="11531" max="11536" width="11.7109375" style="44" customWidth="1"/>
    <col min="11537" max="11537" width="12.85546875" style="44" customWidth="1"/>
    <col min="11538" max="11538" width="12.140625" style="44" customWidth="1"/>
    <col min="11539" max="11776" width="9.140625" style="44"/>
    <col min="11777" max="11777" width="5.85546875" style="44" customWidth="1"/>
    <col min="11778" max="11778" width="25.42578125" style="44" customWidth="1"/>
    <col min="11779" max="11779" width="12.5703125" style="44" customWidth="1"/>
    <col min="11780" max="11780" width="13.42578125" style="44" customWidth="1"/>
    <col min="11781" max="11781" width="8.42578125" style="44" customWidth="1"/>
    <col min="11782" max="11782" width="12.5703125" style="44" customWidth="1"/>
    <col min="11783" max="11783" width="10.7109375" style="44" customWidth="1"/>
    <col min="11784" max="11784" width="11.7109375" style="44" customWidth="1"/>
    <col min="11785" max="11785" width="10" style="44" customWidth="1"/>
    <col min="11786" max="11786" width="11.28515625" style="44" customWidth="1"/>
    <col min="11787" max="11792" width="11.7109375" style="44" customWidth="1"/>
    <col min="11793" max="11793" width="12.85546875" style="44" customWidth="1"/>
    <col min="11794" max="11794" width="12.140625" style="44" customWidth="1"/>
    <col min="11795" max="12032" width="9.140625" style="44"/>
    <col min="12033" max="12033" width="5.85546875" style="44" customWidth="1"/>
    <col min="12034" max="12034" width="25.42578125" style="44" customWidth="1"/>
    <col min="12035" max="12035" width="12.5703125" style="44" customWidth="1"/>
    <col min="12036" max="12036" width="13.42578125" style="44" customWidth="1"/>
    <col min="12037" max="12037" width="8.42578125" style="44" customWidth="1"/>
    <col min="12038" max="12038" width="12.5703125" style="44" customWidth="1"/>
    <col min="12039" max="12039" width="10.7109375" style="44" customWidth="1"/>
    <col min="12040" max="12040" width="11.7109375" style="44" customWidth="1"/>
    <col min="12041" max="12041" width="10" style="44" customWidth="1"/>
    <col min="12042" max="12042" width="11.28515625" style="44" customWidth="1"/>
    <col min="12043" max="12048" width="11.7109375" style="44" customWidth="1"/>
    <col min="12049" max="12049" width="12.85546875" style="44" customWidth="1"/>
    <col min="12050" max="12050" width="12.140625" style="44" customWidth="1"/>
    <col min="12051" max="12288" width="9.140625" style="44"/>
    <col min="12289" max="12289" width="5.85546875" style="44" customWidth="1"/>
    <col min="12290" max="12290" width="25.42578125" style="44" customWidth="1"/>
    <col min="12291" max="12291" width="12.5703125" style="44" customWidth="1"/>
    <col min="12292" max="12292" width="13.42578125" style="44" customWidth="1"/>
    <col min="12293" max="12293" width="8.42578125" style="44" customWidth="1"/>
    <col min="12294" max="12294" width="12.5703125" style="44" customWidth="1"/>
    <col min="12295" max="12295" width="10.7109375" style="44" customWidth="1"/>
    <col min="12296" max="12296" width="11.7109375" style="44" customWidth="1"/>
    <col min="12297" max="12297" width="10" style="44" customWidth="1"/>
    <col min="12298" max="12298" width="11.28515625" style="44" customWidth="1"/>
    <col min="12299" max="12304" width="11.7109375" style="44" customWidth="1"/>
    <col min="12305" max="12305" width="12.85546875" style="44" customWidth="1"/>
    <col min="12306" max="12306" width="12.140625" style="44" customWidth="1"/>
    <col min="12307" max="12544" width="9.140625" style="44"/>
    <col min="12545" max="12545" width="5.85546875" style="44" customWidth="1"/>
    <col min="12546" max="12546" width="25.42578125" style="44" customWidth="1"/>
    <col min="12547" max="12547" width="12.5703125" style="44" customWidth="1"/>
    <col min="12548" max="12548" width="13.42578125" style="44" customWidth="1"/>
    <col min="12549" max="12549" width="8.42578125" style="44" customWidth="1"/>
    <col min="12550" max="12550" width="12.5703125" style="44" customWidth="1"/>
    <col min="12551" max="12551" width="10.7109375" style="44" customWidth="1"/>
    <col min="12552" max="12552" width="11.7109375" style="44" customWidth="1"/>
    <col min="12553" max="12553" width="10" style="44" customWidth="1"/>
    <col min="12554" max="12554" width="11.28515625" style="44" customWidth="1"/>
    <col min="12555" max="12560" width="11.7109375" style="44" customWidth="1"/>
    <col min="12561" max="12561" width="12.85546875" style="44" customWidth="1"/>
    <col min="12562" max="12562" width="12.140625" style="44" customWidth="1"/>
    <col min="12563" max="12800" width="9.140625" style="44"/>
    <col min="12801" max="12801" width="5.85546875" style="44" customWidth="1"/>
    <col min="12802" max="12802" width="25.42578125" style="44" customWidth="1"/>
    <col min="12803" max="12803" width="12.5703125" style="44" customWidth="1"/>
    <col min="12804" max="12804" width="13.42578125" style="44" customWidth="1"/>
    <col min="12805" max="12805" width="8.42578125" style="44" customWidth="1"/>
    <col min="12806" max="12806" width="12.5703125" style="44" customWidth="1"/>
    <col min="12807" max="12807" width="10.7109375" style="44" customWidth="1"/>
    <col min="12808" max="12808" width="11.7109375" style="44" customWidth="1"/>
    <col min="12809" max="12809" width="10" style="44" customWidth="1"/>
    <col min="12810" max="12810" width="11.28515625" style="44" customWidth="1"/>
    <col min="12811" max="12816" width="11.7109375" style="44" customWidth="1"/>
    <col min="12817" max="12817" width="12.85546875" style="44" customWidth="1"/>
    <col min="12818" max="12818" width="12.140625" style="44" customWidth="1"/>
    <col min="12819" max="13056" width="9.140625" style="44"/>
    <col min="13057" max="13057" width="5.85546875" style="44" customWidth="1"/>
    <col min="13058" max="13058" width="25.42578125" style="44" customWidth="1"/>
    <col min="13059" max="13059" width="12.5703125" style="44" customWidth="1"/>
    <col min="13060" max="13060" width="13.42578125" style="44" customWidth="1"/>
    <col min="13061" max="13061" width="8.42578125" style="44" customWidth="1"/>
    <col min="13062" max="13062" width="12.5703125" style="44" customWidth="1"/>
    <col min="13063" max="13063" width="10.7109375" style="44" customWidth="1"/>
    <col min="13064" max="13064" width="11.7109375" style="44" customWidth="1"/>
    <col min="13065" max="13065" width="10" style="44" customWidth="1"/>
    <col min="13066" max="13066" width="11.28515625" style="44" customWidth="1"/>
    <col min="13067" max="13072" width="11.7109375" style="44" customWidth="1"/>
    <col min="13073" max="13073" width="12.85546875" style="44" customWidth="1"/>
    <col min="13074" max="13074" width="12.140625" style="44" customWidth="1"/>
    <col min="13075" max="13312" width="9.140625" style="44"/>
    <col min="13313" max="13313" width="5.85546875" style="44" customWidth="1"/>
    <col min="13314" max="13314" width="25.42578125" style="44" customWidth="1"/>
    <col min="13315" max="13315" width="12.5703125" style="44" customWidth="1"/>
    <col min="13316" max="13316" width="13.42578125" style="44" customWidth="1"/>
    <col min="13317" max="13317" width="8.42578125" style="44" customWidth="1"/>
    <col min="13318" max="13318" width="12.5703125" style="44" customWidth="1"/>
    <col min="13319" max="13319" width="10.7109375" style="44" customWidth="1"/>
    <col min="13320" max="13320" width="11.7109375" style="44" customWidth="1"/>
    <col min="13321" max="13321" width="10" style="44" customWidth="1"/>
    <col min="13322" max="13322" width="11.28515625" style="44" customWidth="1"/>
    <col min="13323" max="13328" width="11.7109375" style="44" customWidth="1"/>
    <col min="13329" max="13329" width="12.85546875" style="44" customWidth="1"/>
    <col min="13330" max="13330" width="12.140625" style="44" customWidth="1"/>
    <col min="13331" max="13568" width="9.140625" style="44"/>
    <col min="13569" max="13569" width="5.85546875" style="44" customWidth="1"/>
    <col min="13570" max="13570" width="25.42578125" style="44" customWidth="1"/>
    <col min="13571" max="13571" width="12.5703125" style="44" customWidth="1"/>
    <col min="13572" max="13572" width="13.42578125" style="44" customWidth="1"/>
    <col min="13573" max="13573" width="8.42578125" style="44" customWidth="1"/>
    <col min="13574" max="13574" width="12.5703125" style="44" customWidth="1"/>
    <col min="13575" max="13575" width="10.7109375" style="44" customWidth="1"/>
    <col min="13576" max="13576" width="11.7109375" style="44" customWidth="1"/>
    <col min="13577" max="13577" width="10" style="44" customWidth="1"/>
    <col min="13578" max="13578" width="11.28515625" style="44" customWidth="1"/>
    <col min="13579" max="13584" width="11.7109375" style="44" customWidth="1"/>
    <col min="13585" max="13585" width="12.85546875" style="44" customWidth="1"/>
    <col min="13586" max="13586" width="12.140625" style="44" customWidth="1"/>
    <col min="13587" max="13824" width="9.140625" style="44"/>
    <col min="13825" max="13825" width="5.85546875" style="44" customWidth="1"/>
    <col min="13826" max="13826" width="25.42578125" style="44" customWidth="1"/>
    <col min="13827" max="13827" width="12.5703125" style="44" customWidth="1"/>
    <col min="13828" max="13828" width="13.42578125" style="44" customWidth="1"/>
    <col min="13829" max="13829" width="8.42578125" style="44" customWidth="1"/>
    <col min="13830" max="13830" width="12.5703125" style="44" customWidth="1"/>
    <col min="13831" max="13831" width="10.7109375" style="44" customWidth="1"/>
    <col min="13832" max="13832" width="11.7109375" style="44" customWidth="1"/>
    <col min="13833" max="13833" width="10" style="44" customWidth="1"/>
    <col min="13834" max="13834" width="11.28515625" style="44" customWidth="1"/>
    <col min="13835" max="13840" width="11.7109375" style="44" customWidth="1"/>
    <col min="13841" max="13841" width="12.85546875" style="44" customWidth="1"/>
    <col min="13842" max="13842" width="12.140625" style="44" customWidth="1"/>
    <col min="13843" max="14080" width="9.140625" style="44"/>
    <col min="14081" max="14081" width="5.85546875" style="44" customWidth="1"/>
    <col min="14082" max="14082" width="25.42578125" style="44" customWidth="1"/>
    <col min="14083" max="14083" width="12.5703125" style="44" customWidth="1"/>
    <col min="14084" max="14084" width="13.42578125" style="44" customWidth="1"/>
    <col min="14085" max="14085" width="8.42578125" style="44" customWidth="1"/>
    <col min="14086" max="14086" width="12.5703125" style="44" customWidth="1"/>
    <col min="14087" max="14087" width="10.7109375" style="44" customWidth="1"/>
    <col min="14088" max="14088" width="11.7109375" style="44" customWidth="1"/>
    <col min="14089" max="14089" width="10" style="44" customWidth="1"/>
    <col min="14090" max="14090" width="11.28515625" style="44" customWidth="1"/>
    <col min="14091" max="14096" width="11.7109375" style="44" customWidth="1"/>
    <col min="14097" max="14097" width="12.85546875" style="44" customWidth="1"/>
    <col min="14098" max="14098" width="12.140625" style="44" customWidth="1"/>
    <col min="14099" max="14336" width="9.140625" style="44"/>
    <col min="14337" max="14337" width="5.85546875" style="44" customWidth="1"/>
    <col min="14338" max="14338" width="25.42578125" style="44" customWidth="1"/>
    <col min="14339" max="14339" width="12.5703125" style="44" customWidth="1"/>
    <col min="14340" max="14340" width="13.42578125" style="44" customWidth="1"/>
    <col min="14341" max="14341" width="8.42578125" style="44" customWidth="1"/>
    <col min="14342" max="14342" width="12.5703125" style="44" customWidth="1"/>
    <col min="14343" max="14343" width="10.7109375" style="44" customWidth="1"/>
    <col min="14344" max="14344" width="11.7109375" style="44" customWidth="1"/>
    <col min="14345" max="14345" width="10" style="44" customWidth="1"/>
    <col min="14346" max="14346" width="11.28515625" style="44" customWidth="1"/>
    <col min="14347" max="14352" width="11.7109375" style="44" customWidth="1"/>
    <col min="14353" max="14353" width="12.85546875" style="44" customWidth="1"/>
    <col min="14354" max="14354" width="12.140625" style="44" customWidth="1"/>
    <col min="14355" max="14592" width="9.140625" style="44"/>
    <col min="14593" max="14593" width="5.85546875" style="44" customWidth="1"/>
    <col min="14594" max="14594" width="25.42578125" style="44" customWidth="1"/>
    <col min="14595" max="14595" width="12.5703125" style="44" customWidth="1"/>
    <col min="14596" max="14596" width="13.42578125" style="44" customWidth="1"/>
    <col min="14597" max="14597" width="8.42578125" style="44" customWidth="1"/>
    <col min="14598" max="14598" width="12.5703125" style="44" customWidth="1"/>
    <col min="14599" max="14599" width="10.7109375" style="44" customWidth="1"/>
    <col min="14600" max="14600" width="11.7109375" style="44" customWidth="1"/>
    <col min="14601" max="14601" width="10" style="44" customWidth="1"/>
    <col min="14602" max="14602" width="11.28515625" style="44" customWidth="1"/>
    <col min="14603" max="14608" width="11.7109375" style="44" customWidth="1"/>
    <col min="14609" max="14609" width="12.85546875" style="44" customWidth="1"/>
    <col min="14610" max="14610" width="12.140625" style="44" customWidth="1"/>
    <col min="14611" max="14848" width="9.140625" style="44"/>
    <col min="14849" max="14849" width="5.85546875" style="44" customWidth="1"/>
    <col min="14850" max="14850" width="25.42578125" style="44" customWidth="1"/>
    <col min="14851" max="14851" width="12.5703125" style="44" customWidth="1"/>
    <col min="14852" max="14852" width="13.42578125" style="44" customWidth="1"/>
    <col min="14853" max="14853" width="8.42578125" style="44" customWidth="1"/>
    <col min="14854" max="14854" width="12.5703125" style="44" customWidth="1"/>
    <col min="14855" max="14855" width="10.7109375" style="44" customWidth="1"/>
    <col min="14856" max="14856" width="11.7109375" style="44" customWidth="1"/>
    <col min="14857" max="14857" width="10" style="44" customWidth="1"/>
    <col min="14858" max="14858" width="11.28515625" style="44" customWidth="1"/>
    <col min="14859" max="14864" width="11.7109375" style="44" customWidth="1"/>
    <col min="14865" max="14865" width="12.85546875" style="44" customWidth="1"/>
    <col min="14866" max="14866" width="12.140625" style="44" customWidth="1"/>
    <col min="14867" max="15104" width="9.140625" style="44"/>
    <col min="15105" max="15105" width="5.85546875" style="44" customWidth="1"/>
    <col min="15106" max="15106" width="25.42578125" style="44" customWidth="1"/>
    <col min="15107" max="15107" width="12.5703125" style="44" customWidth="1"/>
    <col min="15108" max="15108" width="13.42578125" style="44" customWidth="1"/>
    <col min="15109" max="15109" width="8.42578125" style="44" customWidth="1"/>
    <col min="15110" max="15110" width="12.5703125" style="44" customWidth="1"/>
    <col min="15111" max="15111" width="10.7109375" style="44" customWidth="1"/>
    <col min="15112" max="15112" width="11.7109375" style="44" customWidth="1"/>
    <col min="15113" max="15113" width="10" style="44" customWidth="1"/>
    <col min="15114" max="15114" width="11.28515625" style="44" customWidth="1"/>
    <col min="15115" max="15120" width="11.7109375" style="44" customWidth="1"/>
    <col min="15121" max="15121" width="12.85546875" style="44" customWidth="1"/>
    <col min="15122" max="15122" width="12.140625" style="44" customWidth="1"/>
    <col min="15123" max="15360" width="9.140625" style="44"/>
    <col min="15361" max="15361" width="5.85546875" style="44" customWidth="1"/>
    <col min="15362" max="15362" width="25.42578125" style="44" customWidth="1"/>
    <col min="15363" max="15363" width="12.5703125" style="44" customWidth="1"/>
    <col min="15364" max="15364" width="13.42578125" style="44" customWidth="1"/>
    <col min="15365" max="15365" width="8.42578125" style="44" customWidth="1"/>
    <col min="15366" max="15366" width="12.5703125" style="44" customWidth="1"/>
    <col min="15367" max="15367" width="10.7109375" style="44" customWidth="1"/>
    <col min="15368" max="15368" width="11.7109375" style="44" customWidth="1"/>
    <col min="15369" max="15369" width="10" style="44" customWidth="1"/>
    <col min="15370" max="15370" width="11.28515625" style="44" customWidth="1"/>
    <col min="15371" max="15376" width="11.7109375" style="44" customWidth="1"/>
    <col min="15377" max="15377" width="12.85546875" style="44" customWidth="1"/>
    <col min="15378" max="15378" width="12.140625" style="44" customWidth="1"/>
    <col min="15379" max="15616" width="9.140625" style="44"/>
    <col min="15617" max="15617" width="5.85546875" style="44" customWidth="1"/>
    <col min="15618" max="15618" width="25.42578125" style="44" customWidth="1"/>
    <col min="15619" max="15619" width="12.5703125" style="44" customWidth="1"/>
    <col min="15620" max="15620" width="13.42578125" style="44" customWidth="1"/>
    <col min="15621" max="15621" width="8.42578125" style="44" customWidth="1"/>
    <col min="15622" max="15622" width="12.5703125" style="44" customWidth="1"/>
    <col min="15623" max="15623" width="10.7109375" style="44" customWidth="1"/>
    <col min="15624" max="15624" width="11.7109375" style="44" customWidth="1"/>
    <col min="15625" max="15625" width="10" style="44" customWidth="1"/>
    <col min="15626" max="15626" width="11.28515625" style="44" customWidth="1"/>
    <col min="15627" max="15632" width="11.7109375" style="44" customWidth="1"/>
    <col min="15633" max="15633" width="12.85546875" style="44" customWidth="1"/>
    <col min="15634" max="15634" width="12.140625" style="44" customWidth="1"/>
    <col min="15635" max="15872" width="9.140625" style="44"/>
    <col min="15873" max="15873" width="5.85546875" style="44" customWidth="1"/>
    <col min="15874" max="15874" width="25.42578125" style="44" customWidth="1"/>
    <col min="15875" max="15875" width="12.5703125" style="44" customWidth="1"/>
    <col min="15876" max="15876" width="13.42578125" style="44" customWidth="1"/>
    <col min="15877" max="15877" width="8.42578125" style="44" customWidth="1"/>
    <col min="15878" max="15878" width="12.5703125" style="44" customWidth="1"/>
    <col min="15879" max="15879" width="10.7109375" style="44" customWidth="1"/>
    <col min="15880" max="15880" width="11.7109375" style="44" customWidth="1"/>
    <col min="15881" max="15881" width="10" style="44" customWidth="1"/>
    <col min="15882" max="15882" width="11.28515625" style="44" customWidth="1"/>
    <col min="15883" max="15888" width="11.7109375" style="44" customWidth="1"/>
    <col min="15889" max="15889" width="12.85546875" style="44" customWidth="1"/>
    <col min="15890" max="15890" width="12.140625" style="44" customWidth="1"/>
    <col min="15891" max="16128" width="9.140625" style="44"/>
    <col min="16129" max="16129" width="5.85546875" style="44" customWidth="1"/>
    <col min="16130" max="16130" width="25.42578125" style="44" customWidth="1"/>
    <col min="16131" max="16131" width="12.5703125" style="44" customWidth="1"/>
    <col min="16132" max="16132" width="13.42578125" style="44" customWidth="1"/>
    <col min="16133" max="16133" width="8.42578125" style="44" customWidth="1"/>
    <col min="16134" max="16134" width="12.5703125" style="44" customWidth="1"/>
    <col min="16135" max="16135" width="10.7109375" style="44" customWidth="1"/>
    <col min="16136" max="16136" width="11.7109375" style="44" customWidth="1"/>
    <col min="16137" max="16137" width="10" style="44" customWidth="1"/>
    <col min="16138" max="16138" width="11.28515625" style="44" customWidth="1"/>
    <col min="16139" max="16144" width="11.7109375" style="44" customWidth="1"/>
    <col min="16145" max="16145" width="12.85546875" style="44" customWidth="1"/>
    <col min="16146" max="16146" width="12.140625" style="44" customWidth="1"/>
    <col min="16147" max="16384" width="9.140625" style="44"/>
  </cols>
  <sheetData>
    <row r="1" spans="1:18" ht="30.75" customHeight="1">
      <c r="A1" s="1750" t="str">
        <f>+'64'!A1:B1</f>
        <v>UBND XÃ CƯỜNG LỢI</v>
      </c>
      <c r="B1" s="1750"/>
      <c r="L1" s="993"/>
      <c r="M1" s="993"/>
      <c r="N1" s="993"/>
      <c r="O1" s="1751" t="s">
        <v>1438</v>
      </c>
      <c r="P1" s="1751"/>
    </row>
    <row r="2" spans="1:18" ht="36" customHeight="1">
      <c r="A2" s="1747" t="s">
        <v>1038</v>
      </c>
      <c r="B2" s="1747"/>
      <c r="C2" s="1747"/>
      <c r="D2" s="1747"/>
      <c r="E2" s="1747"/>
      <c r="F2" s="1747"/>
      <c r="G2" s="1747"/>
      <c r="H2" s="1747"/>
      <c r="I2" s="1747"/>
      <c r="J2" s="1747"/>
      <c r="K2" s="1747"/>
      <c r="L2" s="1747"/>
      <c r="M2" s="1747"/>
      <c r="N2" s="1747"/>
      <c r="O2" s="1747"/>
      <c r="P2" s="1747"/>
    </row>
    <row r="3" spans="1:18" s="33" customFormat="1" ht="27" customHeight="1">
      <c r="A3" s="1749" t="str">
        <f>+'49'!A3:E3</f>
        <v>(Kèm theo Báo cáo số 151/BC-UBND ngày 20/3/2026 của UBND xã Cường Lợi)</v>
      </c>
      <c r="B3" s="1749"/>
      <c r="C3" s="1749"/>
      <c r="D3" s="1749"/>
      <c r="E3" s="1749"/>
      <c r="F3" s="1749"/>
      <c r="G3" s="1749"/>
      <c r="H3" s="1749"/>
      <c r="I3" s="1749"/>
      <c r="J3" s="1749"/>
      <c r="K3" s="1749"/>
      <c r="L3" s="1749"/>
      <c r="M3" s="1749"/>
      <c r="N3" s="1749"/>
      <c r="O3" s="1749"/>
      <c r="P3" s="1749"/>
    </row>
    <row r="4" spans="1:18" ht="18" customHeight="1">
      <c r="O4" s="1752" t="s">
        <v>290</v>
      </c>
      <c r="P4" s="1752"/>
    </row>
    <row r="5" spans="1:18" s="994" customFormat="1" ht="29.25" customHeight="1">
      <c r="A5" s="1748" t="s">
        <v>291</v>
      </c>
      <c r="B5" s="1748" t="s">
        <v>216</v>
      </c>
      <c r="C5" s="1748" t="s">
        <v>948</v>
      </c>
      <c r="D5" s="1748" t="s">
        <v>947</v>
      </c>
      <c r="E5" s="1748"/>
      <c r="F5" s="1748"/>
      <c r="G5" s="1748"/>
      <c r="H5" s="1748" t="s">
        <v>1034</v>
      </c>
      <c r="I5" s="1748"/>
      <c r="J5" s="1748"/>
      <c r="K5" s="1748"/>
      <c r="L5" s="1754" t="s">
        <v>1039</v>
      </c>
      <c r="M5" s="1755"/>
      <c r="N5" s="1755"/>
      <c r="O5" s="1756"/>
      <c r="P5" s="1748" t="s">
        <v>1040</v>
      </c>
    </row>
    <row r="6" spans="1:18" s="994" customFormat="1" ht="36" customHeight="1">
      <c r="A6" s="1748"/>
      <c r="B6" s="1748"/>
      <c r="C6" s="1748"/>
      <c r="D6" s="1748" t="s">
        <v>112</v>
      </c>
      <c r="E6" s="1748"/>
      <c r="F6" s="1748" t="s">
        <v>113</v>
      </c>
      <c r="G6" s="1748" t="s">
        <v>237</v>
      </c>
      <c r="H6" s="1748" t="s">
        <v>112</v>
      </c>
      <c r="I6" s="1748"/>
      <c r="J6" s="1748" t="s">
        <v>113</v>
      </c>
      <c r="K6" s="1748" t="s">
        <v>237</v>
      </c>
      <c r="L6" s="1748" t="s">
        <v>112</v>
      </c>
      <c r="M6" s="1748"/>
      <c r="N6" s="1748" t="s">
        <v>113</v>
      </c>
      <c r="O6" s="1748" t="s">
        <v>237</v>
      </c>
      <c r="P6" s="1748"/>
    </row>
    <row r="7" spans="1:18" s="994" customFormat="1" ht="70.5" customHeight="1">
      <c r="A7" s="1748"/>
      <c r="B7" s="1748"/>
      <c r="C7" s="1748"/>
      <c r="D7" s="1000" t="s">
        <v>142</v>
      </c>
      <c r="E7" s="1000" t="s">
        <v>687</v>
      </c>
      <c r="F7" s="1748"/>
      <c r="G7" s="1748"/>
      <c r="H7" s="1000" t="s">
        <v>142</v>
      </c>
      <c r="I7" s="1001" t="s">
        <v>687</v>
      </c>
      <c r="J7" s="1748"/>
      <c r="K7" s="1748"/>
      <c r="L7" s="1000" t="s">
        <v>142</v>
      </c>
      <c r="M7" s="1001" t="s">
        <v>687</v>
      </c>
      <c r="N7" s="1748"/>
      <c r="O7" s="1748"/>
      <c r="P7" s="1748"/>
    </row>
    <row r="8" spans="1:18" ht="18" customHeight="1">
      <c r="A8" s="808" t="s">
        <v>294</v>
      </c>
      <c r="B8" s="808" t="s">
        <v>295</v>
      </c>
      <c r="C8" s="808">
        <v>1</v>
      </c>
      <c r="D8" s="808">
        <v>2</v>
      </c>
      <c r="E8" s="808">
        <v>3</v>
      </c>
      <c r="F8" s="808">
        <v>4</v>
      </c>
      <c r="G8" s="808" t="s">
        <v>327</v>
      </c>
      <c r="H8" s="808">
        <v>6</v>
      </c>
      <c r="I8" s="1002">
        <v>7</v>
      </c>
      <c r="J8" s="808">
        <v>8</v>
      </c>
      <c r="K8" s="808" t="s">
        <v>328</v>
      </c>
      <c r="L8" s="808">
        <v>10</v>
      </c>
      <c r="M8" s="808">
        <v>11</v>
      </c>
      <c r="N8" s="808">
        <v>12</v>
      </c>
      <c r="O8" s="808" t="s">
        <v>688</v>
      </c>
      <c r="P8" s="808" t="s">
        <v>689</v>
      </c>
    </row>
    <row r="9" spans="1:18" ht="24" customHeight="1">
      <c r="A9" s="2017"/>
      <c r="B9" s="2017" t="s">
        <v>524</v>
      </c>
      <c r="C9" s="2018">
        <f>+C14+C10+C18+C21+C25+C27+C29</f>
        <v>111.043768</v>
      </c>
      <c r="D9" s="2018">
        <f t="shared" ref="D9:P9" si="0">+D14+D10+D18+D21+D25+D27+D29</f>
        <v>55.6</v>
      </c>
      <c r="E9" s="2018"/>
      <c r="F9" s="2018">
        <f t="shared" si="0"/>
        <v>55.6</v>
      </c>
      <c r="G9" s="2018"/>
      <c r="H9" s="2018">
        <f t="shared" si="0"/>
        <v>3734.2900560000003</v>
      </c>
      <c r="I9" s="2018">
        <f t="shared" si="0"/>
        <v>300</v>
      </c>
      <c r="J9" s="2018">
        <f t="shared" si="0"/>
        <v>3468.9580000000001</v>
      </c>
      <c r="K9" s="2018">
        <f t="shared" si="0"/>
        <v>265.51205599999986</v>
      </c>
      <c r="L9" s="2018">
        <f t="shared" si="0"/>
        <v>26</v>
      </c>
      <c r="M9" s="2018">
        <f t="shared" si="0"/>
        <v>0</v>
      </c>
      <c r="N9" s="2018">
        <f t="shared" si="0"/>
        <v>45.343000000000004</v>
      </c>
      <c r="O9" s="2018">
        <f t="shared" si="0"/>
        <v>-19.343</v>
      </c>
      <c r="P9" s="2018">
        <f t="shared" si="0"/>
        <v>376.37582399999997</v>
      </c>
      <c r="R9" s="995"/>
    </row>
    <row r="10" spans="1:18" s="391" customFormat="1" ht="24.95" customHeight="1">
      <c r="A10" s="1600" t="s">
        <v>439</v>
      </c>
      <c r="B10" s="1601" t="s">
        <v>950</v>
      </c>
      <c r="C10" s="1590"/>
      <c r="D10" s="1602"/>
      <c r="E10" s="1593"/>
      <c r="F10" s="1602"/>
      <c r="G10" s="1593"/>
      <c r="H10" s="1603">
        <f>+H11+H12+H13</f>
        <v>2423.4040230000001</v>
      </c>
      <c r="I10" s="1603">
        <f>+I11+I12+I13</f>
        <v>0</v>
      </c>
      <c r="J10" s="1603">
        <f>+J11+J12+J13</f>
        <v>2364</v>
      </c>
      <c r="K10" s="1603">
        <f t="shared" ref="K10:P10" si="1">+K11+K12+K13</f>
        <v>59.404022999999938</v>
      </c>
      <c r="L10" s="1603">
        <f t="shared" si="1"/>
        <v>0</v>
      </c>
      <c r="M10" s="1603">
        <f t="shared" si="1"/>
        <v>0</v>
      </c>
      <c r="N10" s="1603">
        <f t="shared" si="1"/>
        <v>0</v>
      </c>
      <c r="O10" s="1603">
        <f t="shared" si="1"/>
        <v>0</v>
      </c>
      <c r="P10" s="1603">
        <f t="shared" si="1"/>
        <v>59.404022999999938</v>
      </c>
      <c r="Q10" s="1604"/>
    </row>
    <row r="11" spans="1:18" s="391" customFormat="1" ht="24.95" hidden="1" customHeight="1">
      <c r="A11" s="94" t="s">
        <v>298</v>
      </c>
      <c r="B11" s="1599" t="s">
        <v>1443</v>
      </c>
      <c r="C11" s="1590"/>
      <c r="D11" s="1590"/>
      <c r="E11" s="1590"/>
      <c r="F11" s="1590"/>
      <c r="G11" s="1590"/>
      <c r="H11" s="1595">
        <f>1471.404023-P12-P13</f>
        <v>52.000000000000114</v>
      </c>
      <c r="I11" s="1595"/>
      <c r="J11" s="1595">
        <v>1412</v>
      </c>
      <c r="K11" s="1590">
        <f>+H11-J11</f>
        <v>-1360</v>
      </c>
      <c r="L11" s="1590"/>
      <c r="M11" s="1590"/>
      <c r="N11" s="1590"/>
      <c r="O11" s="1590"/>
      <c r="P11" s="1595">
        <f>+K11</f>
        <v>-1360</v>
      </c>
      <c r="Q11" s="1597"/>
    </row>
    <row r="12" spans="1:18" s="391" customFormat="1" ht="24.95" hidden="1" customHeight="1">
      <c r="A12" s="1600" t="s">
        <v>225</v>
      </c>
      <c r="B12" s="1601" t="s">
        <v>288</v>
      </c>
      <c r="C12" s="1590"/>
      <c r="D12" s="1602"/>
      <c r="E12" s="1593"/>
      <c r="F12" s="1602"/>
      <c r="G12" s="1593"/>
      <c r="H12" s="1603">
        <v>840.45378100000005</v>
      </c>
      <c r="I12" s="2019"/>
      <c r="J12" s="2019">
        <v>300</v>
      </c>
      <c r="K12" s="1593">
        <f>+H12-J12</f>
        <v>540.45378100000005</v>
      </c>
      <c r="L12" s="1593"/>
      <c r="M12" s="1593"/>
      <c r="N12" s="1593"/>
      <c r="O12" s="1593"/>
      <c r="P12" s="1603">
        <f>+C12-J12+H12</f>
        <v>540.45378100000005</v>
      </c>
      <c r="Q12" s="2020"/>
    </row>
    <row r="13" spans="1:18" s="391" customFormat="1" ht="24.95" hidden="1" customHeight="1">
      <c r="A13" s="1600" t="s">
        <v>226</v>
      </c>
      <c r="B13" s="1601" t="s">
        <v>516</v>
      </c>
      <c r="C13" s="1590"/>
      <c r="D13" s="1602"/>
      <c r="E13" s="1593"/>
      <c r="F13" s="1602"/>
      <c r="G13" s="1593"/>
      <c r="H13" s="1603">
        <v>1530.9502419999999</v>
      </c>
      <c r="I13" s="2019"/>
      <c r="J13" s="2019">
        <v>652</v>
      </c>
      <c r="K13" s="1593">
        <f>+H13-J13</f>
        <v>878.95024199999989</v>
      </c>
      <c r="L13" s="1593"/>
      <c r="M13" s="1593"/>
      <c r="N13" s="1593"/>
      <c r="O13" s="1593"/>
      <c r="P13" s="1603">
        <f>+C13-J13+H13</f>
        <v>878.95024199999989</v>
      </c>
      <c r="Q13" s="2020"/>
    </row>
    <row r="14" spans="1:18" s="391" customFormat="1" ht="24.95" customHeight="1">
      <c r="A14" s="94">
        <v>2</v>
      </c>
      <c r="B14" s="1599" t="s">
        <v>949</v>
      </c>
      <c r="C14" s="1595">
        <f>+C15+C16+C17</f>
        <v>62.521809000000005</v>
      </c>
      <c r="D14" s="1595">
        <f t="shared" ref="D14:P14" si="2">+D15+D16+D17</f>
        <v>9.9</v>
      </c>
      <c r="E14" s="1595"/>
      <c r="F14" s="1595">
        <f t="shared" si="2"/>
        <v>9.9</v>
      </c>
      <c r="G14" s="1595">
        <v>0</v>
      </c>
      <c r="H14" s="1595">
        <f t="shared" si="2"/>
        <v>19.805083</v>
      </c>
      <c r="I14" s="1595"/>
      <c r="J14" s="1595">
        <f t="shared" si="2"/>
        <v>11.3</v>
      </c>
      <c r="K14" s="1595">
        <f t="shared" si="2"/>
        <v>8.5050830000000008</v>
      </c>
      <c r="L14" s="1595"/>
      <c r="M14" s="1595"/>
      <c r="N14" s="1595"/>
      <c r="O14" s="1595"/>
      <c r="P14" s="1595">
        <f t="shared" si="2"/>
        <v>71.026892000000004</v>
      </c>
    </row>
    <row r="15" spans="1:18" s="391" customFormat="1" ht="24.95" hidden="1" customHeight="1">
      <c r="A15" s="94" t="s">
        <v>298</v>
      </c>
      <c r="B15" s="1599" t="s">
        <v>1103</v>
      </c>
      <c r="C15" s="1590"/>
      <c r="D15" s="1590"/>
      <c r="E15" s="1590"/>
      <c r="F15" s="1590"/>
      <c r="G15" s="1590"/>
      <c r="H15" s="1595">
        <v>16.100000000000001</v>
      </c>
      <c r="I15" s="1595"/>
      <c r="J15" s="1595">
        <v>4.5</v>
      </c>
      <c r="K15" s="1593">
        <f t="shared" ref="K15:K17" si="3">H15-J15</f>
        <v>11.600000000000001</v>
      </c>
      <c r="L15" s="1590"/>
      <c r="M15" s="1590"/>
      <c r="N15" s="1590"/>
      <c r="O15" s="1590"/>
      <c r="P15" s="1596">
        <f>C15+H15-J15</f>
        <v>11.600000000000001</v>
      </c>
    </row>
    <row r="16" spans="1:18" s="391" customFormat="1" ht="21.95" hidden="1" customHeight="1">
      <c r="A16" s="94" t="s">
        <v>225</v>
      </c>
      <c r="B16" s="1589" t="s">
        <v>516</v>
      </c>
      <c r="C16" s="1595">
        <v>26.330344</v>
      </c>
      <c r="D16" s="2019">
        <f t="shared" ref="D16:D17" si="4">E16+F16</f>
        <v>5</v>
      </c>
      <c r="E16" s="1591"/>
      <c r="F16" s="2019">
        <v>5</v>
      </c>
      <c r="G16" s="1595">
        <v>0</v>
      </c>
      <c r="H16" s="1603">
        <v>3.6179999999999999</v>
      </c>
      <c r="I16" s="2019"/>
      <c r="J16" s="2019">
        <v>2.4</v>
      </c>
      <c r="K16" s="1593">
        <f t="shared" si="3"/>
        <v>1.218</v>
      </c>
      <c r="L16" s="1593"/>
      <c r="M16" s="1593"/>
      <c r="N16" s="1593"/>
      <c r="O16" s="1593"/>
      <c r="P16" s="1596">
        <f>C16+H16-J16</f>
        <v>27.548344</v>
      </c>
    </row>
    <row r="17" spans="1:18" s="391" customFormat="1" ht="21.95" hidden="1" customHeight="1">
      <c r="A17" s="94" t="s">
        <v>226</v>
      </c>
      <c r="B17" s="1589" t="s">
        <v>288</v>
      </c>
      <c r="C17" s="1595">
        <v>36.191465000000001</v>
      </c>
      <c r="D17" s="2019">
        <f t="shared" si="4"/>
        <v>4.9000000000000004</v>
      </c>
      <c r="E17" s="1591"/>
      <c r="F17" s="2019">
        <v>4.9000000000000004</v>
      </c>
      <c r="G17" s="1595">
        <v>0</v>
      </c>
      <c r="H17" s="1603">
        <f>0.087083</f>
        <v>8.7082999999999994E-2</v>
      </c>
      <c r="I17" s="2019"/>
      <c r="J17" s="2019">
        <f>4.4</f>
        <v>4.4000000000000004</v>
      </c>
      <c r="K17" s="1593">
        <f t="shared" si="3"/>
        <v>-4.3129170000000006</v>
      </c>
      <c r="L17" s="1593"/>
      <c r="M17" s="1593"/>
      <c r="N17" s="1593"/>
      <c r="O17" s="1593"/>
      <c r="P17" s="1594">
        <f>C17+H17-J17</f>
        <v>31.878548000000002</v>
      </c>
      <c r="Q17" s="1597"/>
    </row>
    <row r="18" spans="1:18" s="391" customFormat="1" ht="24.95" customHeight="1">
      <c r="A18" s="94">
        <v>3</v>
      </c>
      <c r="B18" s="1599" t="s">
        <v>690</v>
      </c>
      <c r="C18" s="1595">
        <f>+C19+C20</f>
        <v>5.2569999999999997</v>
      </c>
      <c r="D18" s="1595">
        <f t="shared" ref="D18:P18" si="5">+D19+D20</f>
        <v>3</v>
      </c>
      <c r="E18" s="1595"/>
      <c r="F18" s="1595">
        <f t="shared" si="5"/>
        <v>3</v>
      </c>
      <c r="G18" s="1595">
        <v>0</v>
      </c>
      <c r="H18" s="1595">
        <f t="shared" si="5"/>
        <v>2.09</v>
      </c>
      <c r="I18" s="1595"/>
      <c r="J18" s="1595">
        <f t="shared" si="5"/>
        <v>5.6</v>
      </c>
      <c r="K18" s="1595">
        <f t="shared" si="5"/>
        <v>-3.33</v>
      </c>
      <c r="L18" s="1595">
        <f t="shared" si="5"/>
        <v>3.5</v>
      </c>
      <c r="M18" s="1595"/>
      <c r="N18" s="1595">
        <f t="shared" si="5"/>
        <v>3.5</v>
      </c>
      <c r="O18" s="1595">
        <f t="shared" si="5"/>
        <v>0</v>
      </c>
      <c r="P18" s="1595">
        <f t="shared" si="5"/>
        <v>1.7469999999999992</v>
      </c>
    </row>
    <row r="19" spans="1:18" s="391" customFormat="1" ht="24.95" hidden="1" customHeight="1">
      <c r="A19" s="94" t="s">
        <v>525</v>
      </c>
      <c r="B19" s="1599" t="s">
        <v>1103</v>
      </c>
      <c r="C19" s="1595"/>
      <c r="D19" s="1590"/>
      <c r="E19" s="1590"/>
      <c r="F19" s="1590"/>
      <c r="G19" s="1590"/>
      <c r="H19" s="1595">
        <v>1.82</v>
      </c>
      <c r="I19" s="1595"/>
      <c r="J19" s="1595">
        <v>2</v>
      </c>
      <c r="K19" s="1590"/>
      <c r="L19" s="1590"/>
      <c r="M19" s="1590"/>
      <c r="N19" s="1590"/>
      <c r="O19" s="1590"/>
      <c r="P19" s="1596">
        <f>C19+H19-J19</f>
        <v>-0.17999999999999994</v>
      </c>
    </row>
    <row r="20" spans="1:18" s="391" customFormat="1" ht="21.95" hidden="1" customHeight="1">
      <c r="A20" s="94" t="s">
        <v>526</v>
      </c>
      <c r="B20" s="1589" t="s">
        <v>288</v>
      </c>
      <c r="C20" s="1595">
        <v>5.2569999999999997</v>
      </c>
      <c r="D20" s="1595">
        <f t="shared" ref="D20" si="6">E20+F20</f>
        <v>3</v>
      </c>
      <c r="E20" s="1595"/>
      <c r="F20" s="1595">
        <v>3</v>
      </c>
      <c r="G20" s="1595">
        <v>0</v>
      </c>
      <c r="H20" s="1594">
        <f>0.27</f>
        <v>0.27</v>
      </c>
      <c r="I20" s="1595"/>
      <c r="J20" s="1595">
        <f>3.6</f>
        <v>3.6</v>
      </c>
      <c r="K20" s="1594">
        <f t="shared" ref="K20" si="7">H20-J20</f>
        <v>-3.33</v>
      </c>
      <c r="L20" s="1594">
        <v>3.5</v>
      </c>
      <c r="M20" s="1594"/>
      <c r="N20" s="1594">
        <v>3.5</v>
      </c>
      <c r="O20" s="1594">
        <f>L20-N20</f>
        <v>0</v>
      </c>
      <c r="P20" s="1596">
        <f>C20+H20-J20</f>
        <v>1.9269999999999992</v>
      </c>
    </row>
    <row r="21" spans="1:18" s="391" customFormat="1" ht="24.95" customHeight="1">
      <c r="A21" s="94">
        <v>4</v>
      </c>
      <c r="B21" s="1599" t="s">
        <v>691</v>
      </c>
      <c r="C21" s="1595">
        <f>+C23+C24+C22</f>
        <v>32.409959000000001</v>
      </c>
      <c r="D21" s="1595">
        <f>+D23+D24+D22</f>
        <v>41.7</v>
      </c>
      <c r="E21" s="1595"/>
      <c r="F21" s="1595">
        <f t="shared" ref="F21" si="8">+F23+F24+F22</f>
        <v>41.7</v>
      </c>
      <c r="G21" s="1595">
        <v>0</v>
      </c>
      <c r="H21" s="1595">
        <f>+H23+H24+H22</f>
        <v>1287.1479899999999</v>
      </c>
      <c r="I21" s="1595">
        <f>+I23+I24+I22</f>
        <v>300</v>
      </c>
      <c r="J21" s="1595">
        <f>+J23+J24+J22</f>
        <v>1077.203</v>
      </c>
      <c r="K21" s="1595">
        <f>+K23+K24+K22</f>
        <v>209.94498999999996</v>
      </c>
      <c r="L21" s="1595">
        <f t="shared" ref="L21:N21" si="9">+L23+L24+L22</f>
        <v>20.5</v>
      </c>
      <c r="M21" s="1595"/>
      <c r="N21" s="1595">
        <f t="shared" si="9"/>
        <v>38</v>
      </c>
      <c r="O21" s="1595">
        <f>+O23+O24+O22</f>
        <v>-17.5</v>
      </c>
      <c r="P21" s="1595">
        <f>+P23+P24+P22</f>
        <v>242.35494900000003</v>
      </c>
      <c r="Q21" s="1597"/>
    </row>
    <row r="22" spans="1:18" s="391" customFormat="1" ht="24.95" hidden="1" customHeight="1">
      <c r="A22" s="94" t="s">
        <v>1356</v>
      </c>
      <c r="B22" s="1599" t="s">
        <v>1443</v>
      </c>
      <c r="C22" s="1595"/>
      <c r="D22" s="1595"/>
      <c r="E22" s="1595"/>
      <c r="F22" s="1595"/>
      <c r="G22" s="1595"/>
      <c r="H22" s="1595">
        <f>891.154949-P23-P24</f>
        <v>138.49857399999993</v>
      </c>
      <c r="I22" s="1595"/>
      <c r="J22" s="1595">
        <v>648.79999999999995</v>
      </c>
      <c r="K22" s="1595">
        <f>+H22-J22</f>
        <v>-510.30142599999999</v>
      </c>
      <c r="L22" s="1595"/>
      <c r="M22" s="1595"/>
      <c r="N22" s="1595"/>
      <c r="O22" s="1595"/>
      <c r="P22" s="1595">
        <f>+K22</f>
        <v>-510.30142599999999</v>
      </c>
      <c r="Q22" s="1597"/>
    </row>
    <row r="23" spans="1:18" s="391" customFormat="1" ht="21.95" hidden="1" customHeight="1">
      <c r="A23" s="94" t="s">
        <v>156</v>
      </c>
      <c r="B23" s="1589" t="s">
        <v>516</v>
      </c>
      <c r="C23" s="1595">
        <v>23.963492000000002</v>
      </c>
      <c r="D23" s="1595">
        <f t="shared" ref="D23:D24" si="10">E23+F23</f>
        <v>32.6</v>
      </c>
      <c r="E23" s="2019"/>
      <c r="F23" s="2019">
        <v>32.6</v>
      </c>
      <c r="G23" s="1594">
        <v>0</v>
      </c>
      <c r="H23" s="1603">
        <f>1100.037823+0.000874+0.597532</f>
        <v>1100.636229</v>
      </c>
      <c r="I23" s="2019">
        <v>300</v>
      </c>
      <c r="J23" s="2019">
        <v>372</v>
      </c>
      <c r="K23" s="1594">
        <f>H23-J23</f>
        <v>728.63622899999996</v>
      </c>
      <c r="L23" s="1603">
        <v>12</v>
      </c>
      <c r="M23" s="1603"/>
      <c r="N23" s="1603">
        <v>30</v>
      </c>
      <c r="O23" s="1594">
        <f>L23-N23</f>
        <v>-18</v>
      </c>
      <c r="P23" s="1594">
        <f t="shared" ref="P23:P24" si="11">C23+H23-J23</f>
        <v>752.59972100000005</v>
      </c>
      <c r="Q23" s="1597"/>
      <c r="R23" s="1598"/>
    </row>
    <row r="24" spans="1:18" s="391" customFormat="1" ht="21.95" hidden="1" customHeight="1">
      <c r="A24" s="94" t="s">
        <v>1444</v>
      </c>
      <c r="B24" s="1589" t="s">
        <v>288</v>
      </c>
      <c r="C24" s="1595">
        <v>8.4464670000000002</v>
      </c>
      <c r="D24" s="1595">
        <f t="shared" si="10"/>
        <v>9.1</v>
      </c>
      <c r="E24" s="1595"/>
      <c r="F24" s="1595">
        <v>9.1</v>
      </c>
      <c r="G24" s="1594">
        <v>0</v>
      </c>
      <c r="H24" s="1594">
        <f>48.013187</f>
        <v>48.013187000000002</v>
      </c>
      <c r="I24" s="1595"/>
      <c r="J24" s="1595">
        <v>56.402999999999999</v>
      </c>
      <c r="K24" s="1594">
        <f t="shared" ref="K24" si="12">H24-J24</f>
        <v>-8.3898129999999966</v>
      </c>
      <c r="L24" s="1594">
        <v>8.5</v>
      </c>
      <c r="M24" s="1594"/>
      <c r="N24" s="1594">
        <v>8</v>
      </c>
      <c r="O24" s="1594">
        <f>L24-N24</f>
        <v>0.5</v>
      </c>
      <c r="P24" s="1594">
        <f t="shared" si="11"/>
        <v>5.6654000000001759E-2</v>
      </c>
      <c r="Q24" s="1597"/>
    </row>
    <row r="25" spans="1:18" s="391" customFormat="1" ht="24.95" customHeight="1">
      <c r="A25" s="94">
        <v>5</v>
      </c>
      <c r="B25" s="1599" t="s">
        <v>527</v>
      </c>
      <c r="C25" s="1595">
        <v>3.1750000000000007</v>
      </c>
      <c r="D25" s="1595"/>
      <c r="E25" s="1595"/>
      <c r="F25" s="1595"/>
      <c r="G25" s="1595"/>
      <c r="H25" s="1595"/>
      <c r="I25" s="1595"/>
      <c r="J25" s="1595">
        <f t="shared" ref="J25:P25" si="13">SUM(J26:J26)</f>
        <v>3.1749999999999998</v>
      </c>
      <c r="K25" s="1595">
        <f t="shared" si="13"/>
        <v>-3.1749999999999998</v>
      </c>
      <c r="L25" s="1595"/>
      <c r="M25" s="1595"/>
      <c r="N25" s="1595"/>
      <c r="O25" s="1595"/>
      <c r="P25" s="1595">
        <f t="shared" si="13"/>
        <v>0</v>
      </c>
    </row>
    <row r="26" spans="1:18" s="391" customFormat="1" ht="21.95" hidden="1" customHeight="1">
      <c r="A26" s="94" t="s">
        <v>246</v>
      </c>
      <c r="B26" s="1589" t="s">
        <v>516</v>
      </c>
      <c r="C26" s="1595">
        <v>3.1750000000000007</v>
      </c>
      <c r="D26" s="1595"/>
      <c r="E26" s="2019"/>
      <c r="F26" s="2019"/>
      <c r="G26" s="1594"/>
      <c r="H26" s="1603"/>
      <c r="I26" s="2019"/>
      <c r="J26" s="2019">
        <v>3.1749999999999998</v>
      </c>
      <c r="K26" s="1594">
        <f t="shared" ref="K26" si="14">H26-J26</f>
        <v>-3.1749999999999998</v>
      </c>
      <c r="L26" s="1603"/>
      <c r="M26" s="1603"/>
      <c r="N26" s="1603"/>
      <c r="O26" s="1603"/>
      <c r="P26" s="1594">
        <f t="shared" ref="P26" si="15">C26+H26-J26</f>
        <v>0</v>
      </c>
    </row>
    <row r="27" spans="1:18" s="391" customFormat="1" ht="24.95" customHeight="1">
      <c r="A27" s="94">
        <v>6</v>
      </c>
      <c r="B27" s="1599" t="s">
        <v>531</v>
      </c>
      <c r="C27" s="1595">
        <v>7.68</v>
      </c>
      <c r="D27" s="1595">
        <f t="shared" ref="D27:P27" si="16">SUM(D28:D28)</f>
        <v>1</v>
      </c>
      <c r="E27" s="1595"/>
      <c r="F27" s="1595">
        <f t="shared" si="16"/>
        <v>1</v>
      </c>
      <c r="G27" s="1595">
        <v>0</v>
      </c>
      <c r="H27" s="1595"/>
      <c r="I27" s="1595"/>
      <c r="J27" s="1595">
        <f t="shared" si="16"/>
        <v>7.68</v>
      </c>
      <c r="K27" s="1595">
        <f>SUM(K28:K28)</f>
        <v>-7.68</v>
      </c>
      <c r="L27" s="1595"/>
      <c r="M27" s="1595"/>
      <c r="N27" s="1595"/>
      <c r="O27" s="1595"/>
      <c r="P27" s="1595">
        <f t="shared" si="16"/>
        <v>0</v>
      </c>
    </row>
    <row r="28" spans="1:18" s="391" customFormat="1" ht="21.95" hidden="1" customHeight="1">
      <c r="A28" s="94" t="s">
        <v>1363</v>
      </c>
      <c r="B28" s="1589" t="s">
        <v>516</v>
      </c>
      <c r="C28" s="1595">
        <v>7.68</v>
      </c>
      <c r="D28" s="1595">
        <f t="shared" ref="D28" si="17">E28+F28</f>
        <v>1</v>
      </c>
      <c r="E28" s="2019"/>
      <c r="F28" s="2019">
        <v>1</v>
      </c>
      <c r="G28" s="1594">
        <v>0</v>
      </c>
      <c r="H28" s="1603"/>
      <c r="I28" s="2019"/>
      <c r="J28" s="2019">
        <v>7.68</v>
      </c>
      <c r="K28" s="1594">
        <f t="shared" ref="K28" si="18">H28-J28</f>
        <v>-7.68</v>
      </c>
      <c r="L28" s="1603">
        <v>0</v>
      </c>
      <c r="M28" s="1603"/>
      <c r="N28" s="1603"/>
      <c r="O28" s="1603"/>
      <c r="P28" s="1592">
        <f t="shared" ref="P28" si="19">C28+H28-J28</f>
        <v>0</v>
      </c>
    </row>
    <row r="29" spans="1:18" s="2024" customFormat="1" ht="34.5" customHeight="1">
      <c r="A29" s="190">
        <v>7</v>
      </c>
      <c r="B29" s="1605" t="s">
        <v>1253</v>
      </c>
      <c r="C29" s="2021"/>
      <c r="D29" s="2021"/>
      <c r="E29" s="2021"/>
      <c r="F29" s="2021"/>
      <c r="G29" s="2021"/>
      <c r="H29" s="2021">
        <v>1.8429599999999999</v>
      </c>
      <c r="I29" s="2021"/>
      <c r="J29" s="2021"/>
      <c r="K29" s="2022">
        <f>+H29-J29</f>
        <v>1.8429599999999999</v>
      </c>
      <c r="L29" s="2021">
        <v>2</v>
      </c>
      <c r="M29" s="2021"/>
      <c r="N29" s="2021">
        <v>3.843</v>
      </c>
      <c r="O29" s="2021">
        <f>+L29-N29</f>
        <v>-1.843</v>
      </c>
      <c r="P29" s="1603">
        <f>+K29</f>
        <v>1.8429599999999999</v>
      </c>
      <c r="Q29" s="2023"/>
      <c r="R29" s="2023"/>
    </row>
    <row r="30" spans="1:18" ht="15.75" hidden="1" customHeight="1">
      <c r="I30" s="997"/>
      <c r="J30" s="997"/>
      <c r="K30" s="997"/>
      <c r="L30" s="997"/>
      <c r="M30" s="997"/>
      <c r="N30" s="997"/>
      <c r="O30" s="997"/>
      <c r="P30" s="997"/>
      <c r="R30" s="992"/>
    </row>
    <row r="31" spans="1:18" ht="15.75" hidden="1" customHeight="1">
      <c r="I31" s="997"/>
      <c r="J31" s="997"/>
      <c r="K31" s="997"/>
      <c r="L31" s="997"/>
      <c r="M31" s="997"/>
      <c r="N31" s="997"/>
      <c r="O31" s="997"/>
      <c r="P31" s="997"/>
      <c r="R31" s="992"/>
    </row>
    <row r="32" spans="1:18" ht="15.75" hidden="1" customHeight="1">
      <c r="I32" s="997"/>
      <c r="J32" s="997"/>
      <c r="K32" s="997"/>
      <c r="L32" s="997"/>
      <c r="M32" s="997"/>
      <c r="N32" s="997"/>
      <c r="O32" s="997"/>
      <c r="P32" s="997"/>
      <c r="R32" s="992"/>
    </row>
    <row r="33" spans="9:18" ht="15.75" customHeight="1">
      <c r="I33" s="1745"/>
      <c r="J33" s="1745"/>
      <c r="K33" s="1745"/>
      <c r="L33" s="1745"/>
      <c r="M33" s="1745"/>
      <c r="N33" s="1745"/>
      <c r="O33" s="1745"/>
      <c r="P33" s="1745"/>
      <c r="R33" s="992"/>
    </row>
    <row r="34" spans="9:18">
      <c r="I34" s="998"/>
      <c r="J34" s="996"/>
      <c r="K34" s="998"/>
      <c r="L34" s="998"/>
      <c r="M34" s="998"/>
      <c r="N34" s="998"/>
      <c r="O34" s="998"/>
      <c r="R34" s="992"/>
    </row>
    <row r="35" spans="9:18">
      <c r="I35" s="998"/>
      <c r="J35" s="996"/>
      <c r="K35" s="996"/>
      <c r="L35" s="996"/>
      <c r="M35" s="996"/>
      <c r="N35" s="996"/>
      <c r="O35" s="996"/>
      <c r="R35" s="992"/>
    </row>
    <row r="36" spans="9:18" ht="18.75">
      <c r="I36" s="1746"/>
      <c r="J36" s="1746"/>
      <c r="K36" s="1746"/>
      <c r="L36" s="1746"/>
      <c r="M36" s="1746"/>
      <c r="N36" s="1746"/>
      <c r="O36" s="1746"/>
      <c r="P36" s="1746"/>
      <c r="Q36" s="999"/>
      <c r="R36" s="999"/>
    </row>
  </sheetData>
  <mergeCells count="23">
    <mergeCell ref="A1:B1"/>
    <mergeCell ref="O1:P1"/>
    <mergeCell ref="O4:P4"/>
    <mergeCell ref="A5:A7"/>
    <mergeCell ref="B5:B7"/>
    <mergeCell ref="C5:C7"/>
    <mergeCell ref="D5:G5"/>
    <mergeCell ref="H5:K5"/>
    <mergeCell ref="L5:O5"/>
    <mergeCell ref="P5:P7"/>
    <mergeCell ref="D6:E6"/>
    <mergeCell ref="F6:F7"/>
    <mergeCell ref="G6:G7"/>
    <mergeCell ref="H6:I6"/>
    <mergeCell ref="J6:J7"/>
    <mergeCell ref="I33:P33"/>
    <mergeCell ref="I36:P36"/>
    <mergeCell ref="A2:P2"/>
    <mergeCell ref="K6:K7"/>
    <mergeCell ref="L6:M6"/>
    <mergeCell ref="N6:N7"/>
    <mergeCell ref="O6:O7"/>
    <mergeCell ref="A3:P3"/>
  </mergeCells>
  <phoneticPr fontId="31" type="noConversion"/>
  <pageMargins left="0.33" right="0.16" top="0.84" bottom="0.31496062992126" header="0.83" footer="0.23622047244094499"/>
  <pageSetup paperSize="8" scale="102" firstPageNumber="172" orientation="landscape" useFirstPageNumber="1"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theme="0"/>
  </sheetPr>
  <dimension ref="A1:K33"/>
  <sheetViews>
    <sheetView workbookViewId="0">
      <selection sqref="A1:XFD1048576"/>
    </sheetView>
  </sheetViews>
  <sheetFormatPr defaultColWidth="9.28515625" defaultRowHeight="15"/>
  <cols>
    <col min="1" max="1" width="6.28515625" style="853" customWidth="1"/>
    <col min="2" max="2" width="42" style="853" customWidth="1"/>
    <col min="3" max="4" width="16.28515625" style="853" customWidth="1"/>
    <col min="5" max="5" width="10.5703125" style="853" customWidth="1"/>
    <col min="6" max="16384" width="9.28515625" style="853"/>
  </cols>
  <sheetData>
    <row r="1" spans="1:11" ht="26.25" customHeight="1">
      <c r="A1" s="1899" t="str">
        <f>+'53'!A1</f>
        <v>UBND XÃ CƯỜNG LỢI</v>
      </c>
      <c r="B1" s="1900"/>
      <c r="D1" s="1901" t="s">
        <v>1439</v>
      </c>
      <c r="E1" s="1901"/>
    </row>
    <row r="2" spans="1:11" s="1123" customFormat="1" ht="33" customHeight="1">
      <c r="A2" s="1902" t="s">
        <v>1033</v>
      </c>
      <c r="B2" s="1902"/>
      <c r="C2" s="1902"/>
      <c r="D2" s="1902"/>
      <c r="E2" s="1902"/>
    </row>
    <row r="3" spans="1:11" s="1123" customFormat="1" ht="21.75" customHeight="1">
      <c r="A3" s="1903" t="s">
        <v>412</v>
      </c>
      <c r="B3" s="1903"/>
      <c r="C3" s="1903"/>
      <c r="D3" s="1903"/>
      <c r="E3" s="1903"/>
    </row>
    <row r="4" spans="1:11" s="33" customFormat="1" ht="27" customHeight="1">
      <c r="A4" s="1749" t="str">
        <f>+'63'!A3:K3</f>
        <v>(Kèm theo Báo cáo số 151/BC-UBND ngày 20/3/2026 của UBND xã Cường Lợi)</v>
      </c>
      <c r="B4" s="1749"/>
      <c r="C4" s="1749"/>
      <c r="D4" s="1749"/>
      <c r="E4" s="1749"/>
      <c r="F4" s="1588"/>
      <c r="G4" s="1588"/>
      <c r="H4" s="1588"/>
      <c r="I4" s="1588"/>
      <c r="J4" s="1588"/>
      <c r="K4" s="1588"/>
    </row>
    <row r="5" spans="1:11" ht="19.5" customHeight="1">
      <c r="E5" s="87" t="s">
        <v>290</v>
      </c>
    </row>
    <row r="6" spans="1:11" ht="79.5" customHeight="1">
      <c r="A6" s="88" t="s">
        <v>291</v>
      </c>
      <c r="B6" s="88" t="s">
        <v>292</v>
      </c>
      <c r="C6" s="88" t="s">
        <v>947</v>
      </c>
      <c r="D6" s="88" t="s">
        <v>1034</v>
      </c>
      <c r="E6" s="88" t="s">
        <v>158</v>
      </c>
    </row>
    <row r="7" spans="1:11" s="855" customFormat="1" ht="20.25" customHeight="1">
      <c r="A7" s="854" t="s">
        <v>294</v>
      </c>
      <c r="B7" s="854" t="s">
        <v>295</v>
      </c>
      <c r="C7" s="854">
        <v>1</v>
      </c>
      <c r="D7" s="854">
        <v>2</v>
      </c>
      <c r="E7" s="854" t="s">
        <v>217</v>
      </c>
    </row>
    <row r="8" spans="1:11" s="839" customFormat="1" ht="30" customHeight="1">
      <c r="A8" s="88"/>
      <c r="B8" s="840" t="s">
        <v>447</v>
      </c>
      <c r="C8" s="1125">
        <f>+C9+C16+C18+C19+C20+C21</f>
        <v>54.463999999999999</v>
      </c>
      <c r="D8" s="1125">
        <f>D9+D16+D17+D18+D19+D20+D21</f>
        <v>23.998000000000001</v>
      </c>
      <c r="E8" s="1126">
        <f>D8/C8*100</f>
        <v>44.062132784958877</v>
      </c>
    </row>
    <row r="9" spans="1:11" s="86" customFormat="1" ht="30" customHeight="1">
      <c r="A9" s="849">
        <v>1</v>
      </c>
      <c r="B9" s="850" t="s">
        <v>413</v>
      </c>
      <c r="C9" s="851">
        <f>+C10+C15</f>
        <v>54.463999999999999</v>
      </c>
      <c r="D9" s="851">
        <f>+D10+D15</f>
        <v>23.998000000000001</v>
      </c>
      <c r="E9" s="852">
        <f>D9/C9*100</f>
        <v>44.062132784958877</v>
      </c>
    </row>
    <row r="10" spans="1:11" s="86" customFormat="1" ht="30" customHeight="1">
      <c r="A10" s="841" t="s">
        <v>71</v>
      </c>
      <c r="B10" s="846" t="s">
        <v>351</v>
      </c>
      <c r="C10" s="1124">
        <f>+SUM(C11:C14)</f>
        <v>54.463999999999999</v>
      </c>
      <c r="D10" s="1124">
        <f>+SUM(D11:D14)</f>
        <v>23.998000000000001</v>
      </c>
      <c r="E10" s="848">
        <f>D10/C10*100</f>
        <v>44.062132784958877</v>
      </c>
    </row>
    <row r="11" spans="1:11" s="86" customFormat="1" ht="31.15" customHeight="1">
      <c r="A11" s="841"/>
      <c r="B11" s="842" t="s">
        <v>1250</v>
      </c>
      <c r="C11" s="847">
        <v>30.210999999999999</v>
      </c>
      <c r="D11" s="847">
        <v>9.0734999999999992</v>
      </c>
      <c r="E11" s="848"/>
    </row>
    <row r="12" spans="1:11" s="86" customFormat="1" ht="31.15" customHeight="1">
      <c r="A12" s="841"/>
      <c r="B12" s="842" t="s">
        <v>1136</v>
      </c>
      <c r="C12" s="847">
        <v>19.494</v>
      </c>
      <c r="D12" s="847">
        <v>9.0250000000000004</v>
      </c>
      <c r="E12" s="848"/>
    </row>
    <row r="13" spans="1:11" s="86" customFormat="1" ht="31.15" customHeight="1">
      <c r="A13" s="841"/>
      <c r="B13" s="842" t="s">
        <v>1251</v>
      </c>
      <c r="C13" s="847">
        <v>4.7590000000000003</v>
      </c>
      <c r="D13" s="847">
        <v>5.8994999999999997</v>
      </c>
      <c r="E13" s="848"/>
    </row>
    <row r="14" spans="1:11" s="86" customFormat="1" ht="31.15" customHeight="1">
      <c r="A14" s="841"/>
      <c r="B14" s="842" t="s">
        <v>1252</v>
      </c>
      <c r="C14" s="847">
        <v>0</v>
      </c>
      <c r="D14" s="847">
        <v>0</v>
      </c>
      <c r="E14" s="848"/>
    </row>
    <row r="15" spans="1:11" s="86" customFormat="1" ht="31.15" customHeight="1">
      <c r="A15" s="841" t="s">
        <v>71</v>
      </c>
      <c r="B15" s="846" t="s">
        <v>352</v>
      </c>
      <c r="C15" s="847">
        <v>0</v>
      </c>
      <c r="D15" s="847">
        <v>0</v>
      </c>
      <c r="E15" s="848"/>
    </row>
    <row r="16" spans="1:11" s="86" customFormat="1" ht="30" customHeight="1">
      <c r="A16" s="841">
        <v>2</v>
      </c>
      <c r="B16" s="842" t="s">
        <v>353</v>
      </c>
      <c r="C16" s="847">
        <f>D16</f>
        <v>0</v>
      </c>
      <c r="D16" s="847">
        <v>0</v>
      </c>
      <c r="E16" s="848"/>
    </row>
    <row r="17" spans="1:6" s="86" customFormat="1" ht="30" customHeight="1">
      <c r="A17" s="841">
        <v>3</v>
      </c>
      <c r="B17" s="842" t="s">
        <v>354</v>
      </c>
      <c r="C17" s="847">
        <f>D17</f>
        <v>0</v>
      </c>
      <c r="D17" s="847">
        <v>0</v>
      </c>
      <c r="E17" s="848"/>
    </row>
    <row r="18" spans="1:6" s="86" customFormat="1" ht="30" customHeight="1">
      <c r="A18" s="841">
        <v>4</v>
      </c>
      <c r="B18" s="842" t="s">
        <v>244</v>
      </c>
      <c r="C18" s="847">
        <f>D18</f>
        <v>0</v>
      </c>
      <c r="D18" s="847">
        <v>0</v>
      </c>
      <c r="E18" s="848"/>
    </row>
    <row r="19" spans="1:6" s="86" customFormat="1" ht="30" customHeight="1">
      <c r="A19" s="841">
        <v>5</v>
      </c>
      <c r="B19" s="842" t="s">
        <v>414</v>
      </c>
      <c r="C19" s="847">
        <v>0</v>
      </c>
      <c r="D19" s="847">
        <f>+C19</f>
        <v>0</v>
      </c>
      <c r="E19" s="848"/>
    </row>
    <row r="20" spans="1:6" ht="30" customHeight="1">
      <c r="A20" s="841">
        <v>6</v>
      </c>
      <c r="B20" s="842" t="s">
        <v>245</v>
      </c>
      <c r="C20" s="847">
        <f>D20</f>
        <v>0</v>
      </c>
      <c r="D20" s="847">
        <v>0</v>
      </c>
      <c r="E20" s="848"/>
    </row>
    <row r="21" spans="1:6" ht="30" customHeight="1">
      <c r="A21" s="843">
        <v>7</v>
      </c>
      <c r="B21" s="844" t="s">
        <v>598</v>
      </c>
      <c r="C21" s="856">
        <v>0</v>
      </c>
      <c r="D21" s="856">
        <f>+C21</f>
        <v>0</v>
      </c>
      <c r="E21" s="857"/>
    </row>
    <row r="23" spans="1:6" ht="24" hidden="1" customHeight="1">
      <c r="C23" s="1904" t="s">
        <v>1035</v>
      </c>
      <c r="D23" s="1904"/>
      <c r="E23" s="1904"/>
    </row>
    <row r="24" spans="1:6" ht="15.75" hidden="1" customHeight="1">
      <c r="C24" s="1898" t="s">
        <v>214</v>
      </c>
      <c r="D24" s="1898"/>
      <c r="E24" s="1898"/>
      <c r="F24" s="858"/>
    </row>
    <row r="25" spans="1:6" ht="15.75" hidden="1" customHeight="1">
      <c r="C25" s="1898" t="s">
        <v>215</v>
      </c>
      <c r="D25" s="1898"/>
      <c r="E25" s="1898"/>
      <c r="F25" s="858"/>
    </row>
    <row r="26" spans="1:6" ht="15.75" hidden="1" customHeight="1">
      <c r="C26" s="1897" t="s">
        <v>141</v>
      </c>
      <c r="D26" s="1897"/>
      <c r="E26" s="1897"/>
      <c r="F26" s="394"/>
    </row>
    <row r="27" spans="1:6" ht="15.75" hidden="1" customHeight="1">
      <c r="C27" s="57"/>
      <c r="D27" s="393"/>
      <c r="E27" s="222"/>
      <c r="F27" s="28"/>
    </row>
    <row r="28" spans="1:6" ht="15.75" hidden="1" customHeight="1">
      <c r="C28" s="57"/>
      <c r="D28" s="393"/>
      <c r="E28" s="222"/>
      <c r="F28" s="28"/>
    </row>
    <row r="29" spans="1:6" hidden="1">
      <c r="C29" s="57"/>
      <c r="D29" s="393"/>
      <c r="E29" s="222"/>
      <c r="F29" s="28"/>
    </row>
    <row r="30" spans="1:6">
      <c r="C30" s="57"/>
      <c r="D30" s="393"/>
      <c r="E30" s="222"/>
      <c r="F30" s="28"/>
    </row>
    <row r="31" spans="1:6">
      <c r="C31" s="57"/>
      <c r="D31" s="393"/>
      <c r="E31" s="57"/>
      <c r="F31" s="28"/>
    </row>
    <row r="32" spans="1:6" ht="15.75" customHeight="1">
      <c r="C32" s="57"/>
      <c r="D32" s="393"/>
      <c r="E32" s="222"/>
      <c r="F32" s="28"/>
    </row>
    <row r="33" spans="3:6" ht="18.75" customHeight="1">
      <c r="C33" s="1898"/>
      <c r="D33" s="1898"/>
      <c r="E33" s="1898"/>
      <c r="F33" s="859"/>
    </row>
  </sheetData>
  <mergeCells count="10">
    <mergeCell ref="C26:E26"/>
    <mergeCell ref="C33:E33"/>
    <mergeCell ref="A1:B1"/>
    <mergeCell ref="D1:E1"/>
    <mergeCell ref="C25:E25"/>
    <mergeCell ref="A2:E2"/>
    <mergeCell ref="A3:E3"/>
    <mergeCell ref="C23:E23"/>
    <mergeCell ref="C24:E24"/>
    <mergeCell ref="A4:E4"/>
  </mergeCells>
  <phoneticPr fontId="31" type="noConversion"/>
  <printOptions horizontalCentered="1"/>
  <pageMargins left="0.86" right="0.2" top="0.75" bottom="0.75" header="0.3" footer="0.3"/>
  <pageSetup paperSize="9" firstPageNumber="157" orientation="portrait" useFirstPageNumber="1"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
    <tabColor theme="0"/>
  </sheetPr>
  <dimension ref="A1:Y206"/>
  <sheetViews>
    <sheetView view="pageBreakPreview" topLeftCell="A197" zoomScale="60" zoomScaleNormal="100" workbookViewId="0">
      <selection activeCell="V164" sqref="V164"/>
    </sheetView>
  </sheetViews>
  <sheetFormatPr defaultColWidth="12.42578125" defaultRowHeight="15"/>
  <cols>
    <col min="1" max="1" width="6.42578125" style="904" customWidth="1"/>
    <col min="2" max="2" width="28" style="897" customWidth="1"/>
    <col min="3" max="3" width="12.42578125" style="893"/>
    <col min="4" max="5" width="12.42578125" style="52"/>
    <col min="6" max="6" width="9.42578125" style="52" customWidth="1"/>
    <col min="7" max="7" width="8.5703125" style="52" customWidth="1"/>
    <col min="8" max="10" width="12.42578125" style="897"/>
    <col min="11" max="11" width="12.42578125" style="52"/>
    <col min="12" max="12" width="9.42578125" style="897" customWidth="1"/>
    <col min="13" max="14" width="9.28515625" style="52" customWidth="1"/>
    <col min="15" max="15" width="10.85546875" style="52" customWidth="1"/>
    <col min="16" max="16" width="12" style="897" customWidth="1"/>
    <col min="17" max="17" width="9.85546875" style="52" customWidth="1"/>
    <col min="18" max="18" width="11" style="905" customWidth="1"/>
    <col min="19" max="19" width="11.28515625" style="31" customWidth="1"/>
    <col min="20" max="20" width="8.7109375" style="31" customWidth="1"/>
    <col min="21" max="25" width="12.42578125" style="897"/>
    <col min="26" max="16384" width="12.42578125" style="212"/>
  </cols>
  <sheetData>
    <row r="1" spans="1:25" s="1385" customFormat="1" ht="23.25" customHeight="1">
      <c r="A1" s="1382" t="str">
        <f>+'CCTL.PB02'!A1</f>
        <v>UBND XÃ CƯỜNG LỢI</v>
      </c>
      <c r="B1" s="214"/>
      <c r="C1" s="214"/>
      <c r="D1" s="1437"/>
      <c r="E1" s="1438"/>
      <c r="F1" s="1438"/>
      <c r="G1" s="1438"/>
      <c r="H1" s="1383"/>
      <c r="I1" s="1383"/>
      <c r="J1" s="1384"/>
      <c r="K1" s="1447"/>
      <c r="M1" s="1447"/>
      <c r="N1" s="1452"/>
      <c r="O1" s="1452"/>
      <c r="P1" s="1386"/>
      <c r="Q1" s="1427"/>
      <c r="R1" s="1386"/>
      <c r="S1" s="1814" t="s">
        <v>770</v>
      </c>
      <c r="T1" s="1814"/>
      <c r="U1" s="1384"/>
      <c r="V1" s="1383"/>
      <c r="W1" s="1386"/>
    </row>
    <row r="2" spans="1:25" ht="40.5" customHeight="1">
      <c r="A2" s="1779" t="s">
        <v>1152</v>
      </c>
      <c r="B2" s="1779"/>
      <c r="C2" s="1779"/>
      <c r="D2" s="1779"/>
      <c r="E2" s="1779"/>
      <c r="F2" s="1779"/>
      <c r="G2" s="1779"/>
      <c r="H2" s="1779"/>
      <c r="I2" s="1779"/>
      <c r="J2" s="1779"/>
      <c r="K2" s="1779"/>
      <c r="L2" s="1779"/>
      <c r="M2" s="1779"/>
      <c r="N2" s="1779"/>
      <c r="O2" s="1779"/>
      <c r="P2" s="1779"/>
      <c r="Q2" s="1779"/>
      <c r="R2" s="1779"/>
      <c r="S2" s="1779"/>
      <c r="T2" s="1779"/>
      <c r="U2" s="404"/>
      <c r="V2" s="404"/>
      <c r="W2" s="404"/>
      <c r="X2" s="404"/>
      <c r="Y2" s="404"/>
    </row>
    <row r="3" spans="1:25" s="33" customFormat="1" ht="27" customHeight="1">
      <c r="A3" s="1749" t="str">
        <f>+'49'!A3:E3</f>
        <v>(Kèm theo Báo cáo số 151/BC-UBND ngày 20/3/2026 của UBND xã Cường Lợi)</v>
      </c>
      <c r="B3" s="1749"/>
      <c r="C3" s="1749"/>
      <c r="D3" s="1749"/>
      <c r="E3" s="1749"/>
      <c r="F3" s="1749"/>
      <c r="G3" s="1749"/>
      <c r="H3" s="1749"/>
      <c r="I3" s="1749"/>
      <c r="J3" s="1749"/>
      <c r="K3" s="1749"/>
      <c r="L3" s="1749"/>
      <c r="M3" s="1749"/>
      <c r="N3" s="1749"/>
      <c r="O3" s="1749"/>
      <c r="P3" s="1749"/>
      <c r="Q3" s="1749"/>
      <c r="R3" s="1749"/>
      <c r="S3" s="1749"/>
      <c r="T3" s="1749"/>
    </row>
    <row r="4" spans="1:25" ht="16.5" customHeight="1">
      <c r="A4" s="898"/>
      <c r="B4" s="1471"/>
      <c r="C4" s="1426"/>
      <c r="D4" s="1439"/>
      <c r="E4" s="1470"/>
      <c r="F4" s="1445"/>
      <c r="G4" s="1446"/>
      <c r="H4" s="1436"/>
      <c r="I4" s="896"/>
      <c r="J4" s="895"/>
      <c r="K4" s="1448"/>
      <c r="L4" s="900"/>
      <c r="M4" s="1453"/>
      <c r="N4" s="1453"/>
      <c r="O4" s="1428"/>
      <c r="P4" s="1469"/>
      <c r="Q4" s="1468"/>
      <c r="R4" s="1905" t="s">
        <v>205</v>
      </c>
      <c r="S4" s="1905"/>
      <c r="T4" s="1905"/>
      <c r="U4" s="894"/>
      <c r="V4" s="899"/>
      <c r="W4" s="901"/>
    </row>
    <row r="5" spans="1:25" s="372" customFormat="1" ht="14.25" customHeight="1">
      <c r="A5" s="1907" t="s">
        <v>291</v>
      </c>
      <c r="B5" s="1913" t="s">
        <v>443</v>
      </c>
      <c r="C5" s="1910" t="s">
        <v>283</v>
      </c>
      <c r="D5" s="1908" t="s">
        <v>334</v>
      </c>
      <c r="E5" s="1909"/>
      <c r="F5" s="1909"/>
      <c r="G5" s="1909"/>
      <c r="H5" s="1907" t="s">
        <v>335</v>
      </c>
      <c r="I5" s="1907"/>
      <c r="J5" s="1907"/>
      <c r="K5" s="1907"/>
      <c r="L5" s="1907"/>
      <c r="M5" s="1907"/>
      <c r="N5" s="1907"/>
      <c r="O5" s="1907"/>
      <c r="P5" s="1910" t="s">
        <v>136</v>
      </c>
      <c r="Q5" s="1907" t="s">
        <v>1211</v>
      </c>
      <c r="R5" s="1907" t="s">
        <v>336</v>
      </c>
      <c r="S5" s="1907"/>
      <c r="T5" s="1907"/>
    </row>
    <row r="6" spans="1:25" s="372" customFormat="1" ht="13.5" customHeight="1">
      <c r="A6" s="1907"/>
      <c r="B6" s="1911"/>
      <c r="C6" s="1911"/>
      <c r="D6" s="1910" t="s">
        <v>142</v>
      </c>
      <c r="E6" s="1908" t="s">
        <v>231</v>
      </c>
      <c r="F6" s="1909"/>
      <c r="G6" s="1909"/>
      <c r="H6" s="1907" t="s">
        <v>142</v>
      </c>
      <c r="I6" s="1907" t="s">
        <v>231</v>
      </c>
      <c r="J6" s="1907"/>
      <c r="K6" s="1907"/>
      <c r="L6" s="1907"/>
      <c r="M6" s="1907"/>
      <c r="N6" s="1907"/>
      <c r="O6" s="1907"/>
      <c r="P6" s="1911"/>
      <c r="Q6" s="1907"/>
      <c r="R6" s="1907" t="s">
        <v>142</v>
      </c>
      <c r="S6" s="1907"/>
      <c r="T6" s="1907"/>
    </row>
    <row r="7" spans="1:25" s="372" customFormat="1" ht="28.15" customHeight="1">
      <c r="A7" s="1907"/>
      <c r="B7" s="1911"/>
      <c r="C7" s="1911"/>
      <c r="D7" s="1911"/>
      <c r="E7" s="1910" t="s">
        <v>198</v>
      </c>
      <c r="F7" s="1910" t="s">
        <v>1153</v>
      </c>
      <c r="G7" s="1910" t="s">
        <v>416</v>
      </c>
      <c r="H7" s="1907"/>
      <c r="I7" s="1907" t="s">
        <v>505</v>
      </c>
      <c r="J7" s="1907" t="s">
        <v>211</v>
      </c>
      <c r="K7" s="1907" t="s">
        <v>212</v>
      </c>
      <c r="L7" s="1906" t="s">
        <v>1189</v>
      </c>
      <c r="M7" s="1906" t="s">
        <v>938</v>
      </c>
      <c r="N7" s="1906"/>
      <c r="O7" s="1906" t="s">
        <v>552</v>
      </c>
      <c r="P7" s="1911"/>
      <c r="Q7" s="1907"/>
      <c r="R7" s="1907"/>
      <c r="S7" s="1907" t="s">
        <v>213</v>
      </c>
      <c r="T7" s="1907" t="s">
        <v>347</v>
      </c>
    </row>
    <row r="8" spans="1:25" s="372" customFormat="1" ht="72" customHeight="1">
      <c r="A8" s="1907"/>
      <c r="B8" s="1912"/>
      <c r="C8" s="1911"/>
      <c r="D8" s="1911"/>
      <c r="E8" s="1912"/>
      <c r="F8" s="1912"/>
      <c r="G8" s="1912"/>
      <c r="H8" s="1907"/>
      <c r="I8" s="1907"/>
      <c r="J8" s="1907"/>
      <c r="K8" s="1907"/>
      <c r="L8" s="1906"/>
      <c r="M8" s="1450" t="s">
        <v>939</v>
      </c>
      <c r="N8" s="1450" t="s">
        <v>940</v>
      </c>
      <c r="O8" s="1906"/>
      <c r="P8" s="1911"/>
      <c r="Q8" s="1907"/>
      <c r="R8" s="1907"/>
      <c r="S8" s="1907"/>
      <c r="T8" s="1907"/>
    </row>
    <row r="9" spans="1:25" s="1306" customFormat="1" ht="21.75" customHeight="1">
      <c r="A9" s="1444" t="s">
        <v>294</v>
      </c>
      <c r="B9" s="1444" t="s">
        <v>295</v>
      </c>
      <c r="C9" s="1431">
        <v>1</v>
      </c>
      <c r="D9" s="1444">
        <v>2</v>
      </c>
      <c r="E9" s="1431">
        <v>3</v>
      </c>
      <c r="F9" s="1444">
        <v>4</v>
      </c>
      <c r="G9" s="1431">
        <v>5</v>
      </c>
      <c r="H9" s="1444">
        <v>6</v>
      </c>
      <c r="I9" s="1431">
        <v>7</v>
      </c>
      <c r="J9" s="1444">
        <v>8</v>
      </c>
      <c r="K9" s="1431">
        <v>9</v>
      </c>
      <c r="L9" s="1444">
        <v>10</v>
      </c>
      <c r="M9" s="1431">
        <v>11</v>
      </c>
      <c r="N9" s="1444">
        <v>12</v>
      </c>
      <c r="O9" s="1431">
        <v>13</v>
      </c>
      <c r="P9" s="1444">
        <v>14</v>
      </c>
      <c r="Q9" s="1431">
        <v>15</v>
      </c>
      <c r="R9" s="1444">
        <v>16</v>
      </c>
      <c r="S9" s="1431">
        <v>17</v>
      </c>
      <c r="T9" s="1444">
        <v>18</v>
      </c>
    </row>
    <row r="10" spans="1:25" s="1389" customFormat="1" ht="30" customHeight="1">
      <c r="A10" s="1430"/>
      <c r="B10" s="1451" t="s">
        <v>283</v>
      </c>
      <c r="C10" s="1432">
        <f>+C11+C150+C148</f>
        <v>104008.10953700001</v>
      </c>
      <c r="D10" s="1432">
        <f t="shared" ref="D10:S10" si="0">+D11+D150+D148</f>
        <v>12721.002111000002</v>
      </c>
      <c r="E10" s="1432">
        <f t="shared" si="0"/>
        <v>12721.002111000002</v>
      </c>
      <c r="F10" s="1432">
        <f t="shared" si="0"/>
        <v>0</v>
      </c>
      <c r="G10" s="1432">
        <f t="shared" si="0"/>
        <v>0</v>
      </c>
      <c r="H10" s="1432">
        <f t="shared" si="0"/>
        <v>91287.107426000002</v>
      </c>
      <c r="I10" s="1432">
        <f t="shared" si="0"/>
        <v>63393</v>
      </c>
      <c r="J10" s="1432">
        <f t="shared" si="0"/>
        <v>13465</v>
      </c>
      <c r="K10" s="1432">
        <f t="shared" si="0"/>
        <v>16527.746496</v>
      </c>
      <c r="L10" s="1432">
        <f t="shared" si="0"/>
        <v>1.4999999999999998</v>
      </c>
      <c r="M10" s="1432">
        <f t="shared" si="0"/>
        <v>60</v>
      </c>
      <c r="N10" s="1432">
        <f t="shared" si="0"/>
        <v>60</v>
      </c>
      <c r="O10" s="1432">
        <f t="shared" si="0"/>
        <v>2100.1390699999997</v>
      </c>
      <c r="P10" s="1432">
        <f>+P11+P150+P148</f>
        <v>96252.600569000002</v>
      </c>
      <c r="Q10" s="1432">
        <f t="shared" si="0"/>
        <v>180.12299999999999</v>
      </c>
      <c r="R10" s="1432">
        <f t="shared" si="0"/>
        <v>7575.3859679999996</v>
      </c>
      <c r="S10" s="1432">
        <f t="shared" si="0"/>
        <v>7524.422407</v>
      </c>
      <c r="T10" s="1432">
        <f>+T11+T150+T148</f>
        <v>50.963560999999686</v>
      </c>
      <c r="U10" s="1488"/>
    </row>
    <row r="11" spans="1:25" s="1389" customFormat="1" ht="23.25" customHeight="1">
      <c r="A11" s="1185" t="s">
        <v>294</v>
      </c>
      <c r="B11" s="1454" t="s">
        <v>1186</v>
      </c>
      <c r="C11" s="1440">
        <f t="shared" ref="C11:T11" si="1">C12+C42+C73</f>
        <v>20102.142420000004</v>
      </c>
      <c r="D11" s="1440">
        <f t="shared" si="1"/>
        <v>6212.9464200000002</v>
      </c>
      <c r="E11" s="1440">
        <f t="shared" si="1"/>
        <v>6212.9464200000002</v>
      </c>
      <c r="F11" s="1440">
        <f t="shared" si="1"/>
        <v>0</v>
      </c>
      <c r="G11" s="1440">
        <f t="shared" si="1"/>
        <v>0</v>
      </c>
      <c r="H11" s="1433">
        <f t="shared" si="1"/>
        <v>13889.196</v>
      </c>
      <c r="I11" s="1433">
        <f t="shared" si="1"/>
        <v>238.196</v>
      </c>
      <c r="J11" s="1433">
        <f t="shared" si="1"/>
        <v>13143</v>
      </c>
      <c r="K11" s="1433">
        <f t="shared" si="1"/>
        <v>508</v>
      </c>
      <c r="L11" s="1433">
        <f t="shared" si="1"/>
        <v>0</v>
      </c>
      <c r="M11" s="1433">
        <f t="shared" si="1"/>
        <v>60</v>
      </c>
      <c r="N11" s="1433">
        <f t="shared" si="1"/>
        <v>60</v>
      </c>
      <c r="O11" s="1433">
        <f t="shared" si="1"/>
        <v>0</v>
      </c>
      <c r="P11" s="1433">
        <f t="shared" si="1"/>
        <v>19260.136055000003</v>
      </c>
      <c r="Q11" s="1433">
        <f t="shared" si="1"/>
        <v>0.30099999999999999</v>
      </c>
      <c r="R11" s="1433">
        <f t="shared" si="1"/>
        <v>841.7053650000006</v>
      </c>
      <c r="S11" s="1433">
        <f t="shared" si="1"/>
        <v>841.7053650000006</v>
      </c>
      <c r="T11" s="1433">
        <f t="shared" si="1"/>
        <v>0</v>
      </c>
    </row>
    <row r="12" spans="1:25" s="1389" customFormat="1" ht="36">
      <c r="A12" s="1455" t="s">
        <v>296</v>
      </c>
      <c r="B12" s="1456" t="s">
        <v>549</v>
      </c>
      <c r="C12" s="1434">
        <f>C13</f>
        <v>2442.2112470000002</v>
      </c>
      <c r="D12" s="1434">
        <f>D13</f>
        <v>702.21124699999996</v>
      </c>
      <c r="E12" s="1434">
        <f t="shared" ref="E12:T12" si="2">E13</f>
        <v>702.21124699999996</v>
      </c>
      <c r="F12" s="1434">
        <f t="shared" si="2"/>
        <v>0</v>
      </c>
      <c r="G12" s="1434">
        <f t="shared" si="2"/>
        <v>0</v>
      </c>
      <c r="H12" s="1390">
        <f>+I12+J12+K12+L12+M12-N12-O12</f>
        <v>1740</v>
      </c>
      <c r="I12" s="1434">
        <f t="shared" si="2"/>
        <v>0</v>
      </c>
      <c r="J12" s="1390">
        <f>J13</f>
        <v>1740</v>
      </c>
      <c r="K12" s="1390">
        <f t="shared" si="2"/>
        <v>0</v>
      </c>
      <c r="L12" s="1390">
        <f>L13</f>
        <v>0</v>
      </c>
      <c r="M12" s="1390">
        <f>M13</f>
        <v>0</v>
      </c>
      <c r="N12" s="1390">
        <f>N13</f>
        <v>0</v>
      </c>
      <c r="O12" s="1434">
        <f>O13</f>
        <v>0</v>
      </c>
      <c r="P12" s="1434">
        <f t="shared" si="2"/>
        <v>2366.0945079999997</v>
      </c>
      <c r="Q12" s="1434">
        <f t="shared" si="2"/>
        <v>0</v>
      </c>
      <c r="R12" s="1390">
        <f>R13</f>
        <v>76.116739000000166</v>
      </c>
      <c r="S12" s="1390">
        <f t="shared" si="2"/>
        <v>76.116739000000166</v>
      </c>
      <c r="T12" s="1434">
        <f t="shared" si="2"/>
        <v>0</v>
      </c>
    </row>
    <row r="13" spans="1:25" s="1389" customFormat="1" ht="12">
      <c r="A13" s="1455">
        <v>1</v>
      </c>
      <c r="B13" s="1457" t="s">
        <v>107</v>
      </c>
      <c r="C13" s="1390">
        <f>SUM(C14:C15)</f>
        <v>2442.2112470000002</v>
      </c>
      <c r="D13" s="1390">
        <f>SUM(D14:D15)</f>
        <v>702.21124699999996</v>
      </c>
      <c r="E13" s="1390">
        <f t="shared" ref="E13:T13" si="3">SUM(E14:E15)</f>
        <v>702.21124699999996</v>
      </c>
      <c r="F13" s="1390">
        <f t="shared" si="3"/>
        <v>0</v>
      </c>
      <c r="G13" s="1390">
        <f t="shared" si="3"/>
        <v>0</v>
      </c>
      <c r="H13" s="1390">
        <f>+I13+J13+K13+L13+M13-N13-O13</f>
        <v>1740</v>
      </c>
      <c r="I13" s="1390">
        <f t="shared" si="3"/>
        <v>0</v>
      </c>
      <c r="J13" s="1390">
        <f>SUM(J14:J15)</f>
        <v>1740</v>
      </c>
      <c r="K13" s="1390">
        <f t="shared" si="3"/>
        <v>0</v>
      </c>
      <c r="L13" s="1390">
        <f>SUM(L14:L15)</f>
        <v>0</v>
      </c>
      <c r="M13" s="1390">
        <f>SUM(M14:M15)</f>
        <v>0</v>
      </c>
      <c r="N13" s="1390">
        <f>SUM(N14:N15)</f>
        <v>0</v>
      </c>
      <c r="O13" s="1390">
        <f>SUM(O14:O15)</f>
        <v>0</v>
      </c>
      <c r="P13" s="1390">
        <f t="shared" si="3"/>
        <v>2366.0945079999997</v>
      </c>
      <c r="Q13" s="1390">
        <f t="shared" si="3"/>
        <v>0</v>
      </c>
      <c r="R13" s="1390">
        <f>SUM(R14:R15)</f>
        <v>76.116739000000166</v>
      </c>
      <c r="S13" s="1390">
        <f t="shared" si="3"/>
        <v>76.116739000000166</v>
      </c>
      <c r="T13" s="1390">
        <f t="shared" si="3"/>
        <v>0</v>
      </c>
    </row>
    <row r="14" spans="1:25" s="1401" customFormat="1" ht="12">
      <c r="A14" s="1395" t="s">
        <v>106</v>
      </c>
      <c r="B14" s="1458" t="s">
        <v>551</v>
      </c>
      <c r="C14" s="1398">
        <f>+C17+C20+C27+C31+C34</f>
        <v>2375.8212470000003</v>
      </c>
      <c r="D14" s="1398">
        <f>+D17+D20+D27+D31+D34</f>
        <v>685.82124699999997</v>
      </c>
      <c r="E14" s="1398">
        <f t="shared" ref="E14:I15" si="4">+E17+E20+E27+E31+E34</f>
        <v>685.82124699999997</v>
      </c>
      <c r="F14" s="1398">
        <f t="shared" si="4"/>
        <v>0</v>
      </c>
      <c r="G14" s="1398">
        <f t="shared" si="4"/>
        <v>0</v>
      </c>
      <c r="H14" s="1398">
        <f t="shared" si="4"/>
        <v>1690</v>
      </c>
      <c r="I14" s="1398">
        <f t="shared" si="4"/>
        <v>0</v>
      </c>
      <c r="J14" s="1398">
        <f>+J17+J20+J27+J31+J34</f>
        <v>1690</v>
      </c>
      <c r="K14" s="1398">
        <f t="shared" ref="K14:Q14" si="5">+K17+K20+K27+K31+K34</f>
        <v>0</v>
      </c>
      <c r="L14" s="1398">
        <f t="shared" si="5"/>
        <v>0</v>
      </c>
      <c r="M14" s="1398">
        <f t="shared" si="5"/>
        <v>0</v>
      </c>
      <c r="N14" s="1398">
        <f t="shared" si="5"/>
        <v>0</v>
      </c>
      <c r="O14" s="1398">
        <f t="shared" si="5"/>
        <v>0</v>
      </c>
      <c r="P14" s="1398">
        <f t="shared" si="5"/>
        <v>2299.7045079999998</v>
      </c>
      <c r="Q14" s="1398">
        <f t="shared" si="5"/>
        <v>0</v>
      </c>
      <c r="R14" s="1398">
        <f>+R17+R20+R27+R31+R34</f>
        <v>76.116739000000166</v>
      </c>
      <c r="S14" s="1398">
        <f t="shared" ref="S14:T14" si="6">+S17+S20+S27+S31+S34</f>
        <v>76.116739000000166</v>
      </c>
      <c r="T14" s="1398">
        <f t="shared" si="6"/>
        <v>0</v>
      </c>
    </row>
    <row r="15" spans="1:25" s="1401" customFormat="1" ht="12">
      <c r="A15" s="1395" t="s">
        <v>106</v>
      </c>
      <c r="B15" s="1458" t="s">
        <v>560</v>
      </c>
      <c r="C15" s="1398">
        <f>+C18+C21+C28+C32+C35</f>
        <v>66.39</v>
      </c>
      <c r="D15" s="1398">
        <f>+D18+D21+D28+D32+D35</f>
        <v>16.39</v>
      </c>
      <c r="E15" s="1398">
        <f t="shared" si="4"/>
        <v>16.39</v>
      </c>
      <c r="F15" s="1398">
        <f t="shared" si="4"/>
        <v>0</v>
      </c>
      <c r="G15" s="1398">
        <f t="shared" si="4"/>
        <v>0</v>
      </c>
      <c r="H15" s="1398">
        <f t="shared" si="4"/>
        <v>50</v>
      </c>
      <c r="I15" s="1398">
        <f t="shared" si="4"/>
        <v>0</v>
      </c>
      <c r="J15" s="1398">
        <f>+J18+J21+J28+J32+J35</f>
        <v>50</v>
      </c>
      <c r="K15" s="1398">
        <f t="shared" ref="K15:T15" si="7">+K18+K21+K28+K32+K35</f>
        <v>0</v>
      </c>
      <c r="L15" s="1398">
        <f t="shared" si="7"/>
        <v>0</v>
      </c>
      <c r="M15" s="1398">
        <f t="shared" si="7"/>
        <v>0</v>
      </c>
      <c r="N15" s="1398">
        <f t="shared" si="7"/>
        <v>0</v>
      </c>
      <c r="O15" s="1398">
        <f t="shared" si="7"/>
        <v>0</v>
      </c>
      <c r="P15" s="1398">
        <f t="shared" si="7"/>
        <v>66.39</v>
      </c>
      <c r="Q15" s="1398">
        <f t="shared" si="7"/>
        <v>0</v>
      </c>
      <c r="R15" s="1398">
        <f t="shared" si="7"/>
        <v>0</v>
      </c>
      <c r="S15" s="1398">
        <f t="shared" si="7"/>
        <v>0</v>
      </c>
      <c r="T15" s="1398">
        <f t="shared" si="7"/>
        <v>0</v>
      </c>
    </row>
    <row r="16" spans="1:25" s="1401" customFormat="1" ht="24">
      <c r="A16" s="1395" t="s">
        <v>60</v>
      </c>
      <c r="B16" s="1396" t="s">
        <v>550</v>
      </c>
      <c r="C16" s="1398">
        <f>SUM(C17:C18)</f>
        <v>502.52</v>
      </c>
      <c r="D16" s="1398">
        <f>SUM(D17:D18)</f>
        <v>2.52</v>
      </c>
      <c r="E16" s="1398">
        <f>SUM(E17:E18)</f>
        <v>2.52</v>
      </c>
      <c r="F16" s="1398">
        <f>SUM(F17:F18)</f>
        <v>0</v>
      </c>
      <c r="G16" s="1398">
        <f>SUM(G17:G18)</f>
        <v>0</v>
      </c>
      <c r="H16" s="1397">
        <f t="shared" ref="H16:H88" si="8">+I16+J16+K16+L16+M16-N16-O16</f>
        <v>500</v>
      </c>
      <c r="I16" s="1398">
        <f t="shared" ref="I16:T16" si="9">SUM(I17:I18)</f>
        <v>0</v>
      </c>
      <c r="J16" s="1398">
        <f t="shared" si="9"/>
        <v>500</v>
      </c>
      <c r="K16" s="1397">
        <f t="shared" si="9"/>
        <v>0</v>
      </c>
      <c r="L16" s="1398">
        <f t="shared" si="9"/>
        <v>0</v>
      </c>
      <c r="M16" s="1398">
        <f>SUM(M17:M18)</f>
        <v>0</v>
      </c>
      <c r="N16" s="1398">
        <f>SUM(N17:N18)</f>
        <v>0</v>
      </c>
      <c r="O16" s="1398">
        <f t="shared" si="9"/>
        <v>0</v>
      </c>
      <c r="P16" s="1398">
        <f>SUM(P17:P18)</f>
        <v>501.37459999999999</v>
      </c>
      <c r="Q16" s="1398">
        <f t="shared" si="9"/>
        <v>0</v>
      </c>
      <c r="R16" s="1398">
        <f t="shared" si="9"/>
        <v>1.1453999999999951</v>
      </c>
      <c r="S16" s="1398">
        <f t="shared" si="9"/>
        <v>1.1453999999999951</v>
      </c>
      <c r="T16" s="1398">
        <f t="shared" si="9"/>
        <v>0</v>
      </c>
    </row>
    <row r="17" spans="1:21" s="1401" customFormat="1" ht="12">
      <c r="A17" s="1395" t="s">
        <v>106</v>
      </c>
      <c r="B17" s="1458" t="s">
        <v>551</v>
      </c>
      <c r="C17" s="1397">
        <f>+D17+H17</f>
        <v>488.52</v>
      </c>
      <c r="D17" s="1398">
        <f>SUM(E17:G17)</f>
        <v>2.52</v>
      </c>
      <c r="E17" s="1398">
        <v>2.52</v>
      </c>
      <c r="F17" s="1398"/>
      <c r="G17" s="1398"/>
      <c r="H17" s="1397">
        <f>+I17+J17+K17+L17+M17-N17-O17</f>
        <v>486</v>
      </c>
      <c r="I17" s="1399"/>
      <c r="J17" s="1403">
        <v>486</v>
      </c>
      <c r="K17" s="1403"/>
      <c r="L17" s="1399"/>
      <c r="M17" s="1399"/>
      <c r="N17" s="1399">
        <v>0</v>
      </c>
      <c r="O17" s="1399"/>
      <c r="P17" s="1397">
        <v>487.37459999999999</v>
      </c>
      <c r="Q17" s="1397"/>
      <c r="R17" s="1397">
        <f>+C17-P17-Q17</f>
        <v>1.1453999999999951</v>
      </c>
      <c r="S17" s="1397">
        <f>+R17</f>
        <v>1.1453999999999951</v>
      </c>
      <c r="T17" s="1397"/>
    </row>
    <row r="18" spans="1:21" s="1401" customFormat="1" ht="12">
      <c r="A18" s="1395" t="s">
        <v>106</v>
      </c>
      <c r="B18" s="1458" t="s">
        <v>560</v>
      </c>
      <c r="C18" s="1397">
        <f>+D18+H18</f>
        <v>14</v>
      </c>
      <c r="D18" s="1398"/>
      <c r="E18" s="1398"/>
      <c r="F18" s="1398"/>
      <c r="G18" s="1398"/>
      <c r="H18" s="1397">
        <f t="shared" si="8"/>
        <v>14</v>
      </c>
      <c r="I18" s="1399"/>
      <c r="J18" s="1403">
        <v>14</v>
      </c>
      <c r="K18" s="1403"/>
      <c r="L18" s="1399"/>
      <c r="M18" s="1399"/>
      <c r="N18" s="1399"/>
      <c r="O18" s="1399"/>
      <c r="P18" s="1397">
        <v>14</v>
      </c>
      <c r="Q18" s="1397"/>
      <c r="R18" s="1397">
        <f>+C18-P18-Q18</f>
        <v>0</v>
      </c>
      <c r="S18" s="1397">
        <f>+R18</f>
        <v>0</v>
      </c>
      <c r="T18" s="1397"/>
    </row>
    <row r="19" spans="1:21" s="1401" customFormat="1" ht="24">
      <c r="A19" s="1395" t="s">
        <v>60</v>
      </c>
      <c r="B19" s="1459" t="s">
        <v>627</v>
      </c>
      <c r="C19" s="1397">
        <f t="shared" ref="C19:T19" si="10">SUM(C20:C21)</f>
        <v>1584.5201790000001</v>
      </c>
      <c r="D19" s="1397">
        <f t="shared" si="10"/>
        <v>614.52017899999998</v>
      </c>
      <c r="E19" s="1397">
        <f t="shared" si="10"/>
        <v>614.52017899999998</v>
      </c>
      <c r="F19" s="1397">
        <f t="shared" si="10"/>
        <v>0</v>
      </c>
      <c r="G19" s="1397">
        <f t="shared" si="10"/>
        <v>0</v>
      </c>
      <c r="H19" s="1397">
        <f>+I19+J19+K19+L19+M19-N19-O19</f>
        <v>970</v>
      </c>
      <c r="I19" s="1397">
        <f t="shared" si="10"/>
        <v>0</v>
      </c>
      <c r="J19" s="1397">
        <f t="shared" si="10"/>
        <v>970</v>
      </c>
      <c r="K19" s="1397">
        <f t="shared" si="10"/>
        <v>0</v>
      </c>
      <c r="L19" s="1397">
        <f t="shared" si="10"/>
        <v>0</v>
      </c>
      <c r="M19" s="1397">
        <f t="shared" si="10"/>
        <v>0</v>
      </c>
      <c r="N19" s="1397">
        <f t="shared" si="10"/>
        <v>0</v>
      </c>
      <c r="O19" s="1397">
        <f t="shared" si="10"/>
        <v>0</v>
      </c>
      <c r="P19" s="1397">
        <f t="shared" si="10"/>
        <v>1535.8402599999999</v>
      </c>
      <c r="Q19" s="1397">
        <f t="shared" si="10"/>
        <v>0</v>
      </c>
      <c r="R19" s="1397">
        <f>SUM(R20:R21)</f>
        <v>48.679919000000154</v>
      </c>
      <c r="S19" s="1397">
        <f t="shared" si="10"/>
        <v>48.679919000000154</v>
      </c>
      <c r="T19" s="1397">
        <f t="shared" si="10"/>
        <v>0</v>
      </c>
    </row>
    <row r="20" spans="1:21" s="1401" customFormat="1" ht="12">
      <c r="A20" s="1395" t="s">
        <v>106</v>
      </c>
      <c r="B20" s="1458" t="s">
        <v>551</v>
      </c>
      <c r="C20" s="1398">
        <f t="shared" ref="C20:I21" si="11">+C23</f>
        <v>1540.2301790000001</v>
      </c>
      <c r="D20" s="1398">
        <f t="shared" si="11"/>
        <v>598.130179</v>
      </c>
      <c r="E20" s="1398">
        <f t="shared" si="11"/>
        <v>598.130179</v>
      </c>
      <c r="F20" s="1398">
        <f t="shared" si="11"/>
        <v>0</v>
      </c>
      <c r="G20" s="1398">
        <f t="shared" si="11"/>
        <v>0</v>
      </c>
      <c r="H20" s="1397">
        <f>+I20+J20+K20+L20+M20-N20-O20</f>
        <v>942.1</v>
      </c>
      <c r="I20" s="1398">
        <f t="shared" si="11"/>
        <v>0</v>
      </c>
      <c r="J20" s="1398">
        <v>942.1</v>
      </c>
      <c r="K20" s="1398">
        <f t="shared" ref="K20:T21" si="12">+K23</f>
        <v>0</v>
      </c>
      <c r="L20" s="1398">
        <f t="shared" si="12"/>
        <v>0</v>
      </c>
      <c r="M20" s="1398">
        <f t="shared" si="12"/>
        <v>0</v>
      </c>
      <c r="N20" s="1398"/>
      <c r="O20" s="1398">
        <f t="shared" si="12"/>
        <v>0</v>
      </c>
      <c r="P20" s="1398">
        <f t="shared" si="12"/>
        <v>1491.55026</v>
      </c>
      <c r="Q20" s="1398">
        <f t="shared" si="12"/>
        <v>0</v>
      </c>
      <c r="R20" s="1398">
        <f t="shared" si="12"/>
        <v>48.679919000000154</v>
      </c>
      <c r="S20" s="1398">
        <f t="shared" si="12"/>
        <v>48.679919000000154</v>
      </c>
      <c r="T20" s="1398">
        <f t="shared" si="12"/>
        <v>0</v>
      </c>
    </row>
    <row r="21" spans="1:21" s="1401" customFormat="1" ht="12">
      <c r="A21" s="1395" t="s">
        <v>106</v>
      </c>
      <c r="B21" s="1458" t="s">
        <v>560</v>
      </c>
      <c r="C21" s="1398">
        <f t="shared" si="11"/>
        <v>44.29</v>
      </c>
      <c r="D21" s="1398">
        <f t="shared" si="11"/>
        <v>16.39</v>
      </c>
      <c r="E21" s="1398">
        <f t="shared" si="11"/>
        <v>16.39</v>
      </c>
      <c r="F21" s="1398">
        <f t="shared" si="11"/>
        <v>0</v>
      </c>
      <c r="G21" s="1398">
        <f t="shared" si="11"/>
        <v>0</v>
      </c>
      <c r="H21" s="1397">
        <f t="shared" si="8"/>
        <v>27.9</v>
      </c>
      <c r="I21" s="1398">
        <f t="shared" si="11"/>
        <v>0</v>
      </c>
      <c r="J21" s="1398">
        <v>27.9</v>
      </c>
      <c r="K21" s="1398">
        <f t="shared" si="12"/>
        <v>0</v>
      </c>
      <c r="L21" s="1398">
        <f t="shared" si="12"/>
        <v>0</v>
      </c>
      <c r="M21" s="1398">
        <f t="shared" si="12"/>
        <v>0</v>
      </c>
      <c r="N21" s="1398"/>
      <c r="O21" s="1398">
        <f t="shared" si="12"/>
        <v>0</v>
      </c>
      <c r="P21" s="1398">
        <f t="shared" si="12"/>
        <v>44.29</v>
      </c>
      <c r="Q21" s="1398">
        <f t="shared" si="12"/>
        <v>0</v>
      </c>
      <c r="R21" s="1398">
        <f t="shared" si="12"/>
        <v>0</v>
      </c>
      <c r="S21" s="1398">
        <f t="shared" si="12"/>
        <v>0</v>
      </c>
      <c r="T21" s="1398">
        <f t="shared" si="12"/>
        <v>0</v>
      </c>
    </row>
    <row r="22" spans="1:21" s="1401" customFormat="1" ht="24">
      <c r="A22" s="1395" t="s">
        <v>60</v>
      </c>
      <c r="B22" s="1459" t="s">
        <v>628</v>
      </c>
      <c r="C22" s="1397">
        <f>SUM(C23:C24)</f>
        <v>1584.5201790000001</v>
      </c>
      <c r="D22" s="1397">
        <f>SUM(D23:D24)</f>
        <v>614.52017899999998</v>
      </c>
      <c r="E22" s="1397">
        <f t="shared" ref="E22:T22" si="13">SUM(E23:E24)</f>
        <v>614.52017899999998</v>
      </c>
      <c r="F22" s="1397">
        <f t="shared" si="13"/>
        <v>0</v>
      </c>
      <c r="G22" s="1397">
        <f t="shared" si="13"/>
        <v>0</v>
      </c>
      <c r="H22" s="1397">
        <f t="shared" si="8"/>
        <v>970</v>
      </c>
      <c r="I22" s="1397">
        <f t="shared" si="13"/>
        <v>0</v>
      </c>
      <c r="J22" s="1397">
        <f>SUM(J23:J24)</f>
        <v>970</v>
      </c>
      <c r="K22" s="1397">
        <f t="shared" si="13"/>
        <v>0</v>
      </c>
      <c r="L22" s="1397">
        <f t="shared" si="13"/>
        <v>0</v>
      </c>
      <c r="M22" s="1397">
        <f t="shared" si="13"/>
        <v>0</v>
      </c>
      <c r="N22" s="1397">
        <f t="shared" si="13"/>
        <v>0</v>
      </c>
      <c r="O22" s="1397">
        <f t="shared" si="13"/>
        <v>0</v>
      </c>
      <c r="P22" s="1397">
        <f t="shared" si="13"/>
        <v>1535.8402599999999</v>
      </c>
      <c r="Q22" s="1397">
        <f t="shared" si="13"/>
        <v>0</v>
      </c>
      <c r="R22" s="1397">
        <f>SUM(R23:R24)</f>
        <v>48.679919000000154</v>
      </c>
      <c r="S22" s="1397">
        <f t="shared" si="13"/>
        <v>48.679919000000154</v>
      </c>
      <c r="T22" s="1397">
        <f t="shared" si="13"/>
        <v>0</v>
      </c>
      <c r="U22" s="1460"/>
    </row>
    <row r="23" spans="1:21" s="1401" customFormat="1" ht="12">
      <c r="A23" s="1395" t="s">
        <v>106</v>
      </c>
      <c r="B23" s="1458" t="s">
        <v>551</v>
      </c>
      <c r="C23" s="1397">
        <f>+D23+H23</f>
        <v>1540.2301790000001</v>
      </c>
      <c r="D23" s="1398">
        <f>SUM(E23:G23)</f>
        <v>598.130179</v>
      </c>
      <c r="E23" s="1397">
        <v>598.130179</v>
      </c>
      <c r="F23" s="1398"/>
      <c r="G23" s="1398"/>
      <c r="H23" s="1397">
        <f>+I23+J23+K23+L23+M23-N23-O23</f>
        <v>942.1</v>
      </c>
      <c r="I23" s="1399"/>
      <c r="J23" s="1398">
        <v>942.1</v>
      </c>
      <c r="K23" s="1403"/>
      <c r="L23" s="1399"/>
      <c r="M23" s="1398"/>
      <c r="N23" s="1399"/>
      <c r="O23" s="1399"/>
      <c r="P23" s="1397">
        <v>1491.55026</v>
      </c>
      <c r="Q23" s="1397"/>
      <c r="R23" s="1397">
        <f>+C23-P23-Q23</f>
        <v>48.679919000000154</v>
      </c>
      <c r="S23" s="1397">
        <f>+R23</f>
        <v>48.679919000000154</v>
      </c>
      <c r="T23" s="1397"/>
      <c r="U23" s="1460"/>
    </row>
    <row r="24" spans="1:21" s="1401" customFormat="1" ht="12">
      <c r="A24" s="1395" t="s">
        <v>106</v>
      </c>
      <c r="B24" s="1458" t="s">
        <v>560</v>
      </c>
      <c r="C24" s="1397">
        <f>+D24+H24</f>
        <v>44.29</v>
      </c>
      <c r="D24" s="1398">
        <f>SUM(E24:G24)</f>
        <v>16.39</v>
      </c>
      <c r="E24" s="1398">
        <v>16.39</v>
      </c>
      <c r="F24" s="1398"/>
      <c r="G24" s="1398"/>
      <c r="H24" s="1397">
        <f t="shared" si="8"/>
        <v>27.9</v>
      </c>
      <c r="I24" s="1399"/>
      <c r="J24" s="1398">
        <v>27.9</v>
      </c>
      <c r="K24" s="1403"/>
      <c r="L24" s="1399"/>
      <c r="M24" s="1399"/>
      <c r="N24" s="1399"/>
      <c r="O24" s="1399"/>
      <c r="P24" s="1397">
        <v>44.29</v>
      </c>
      <c r="Q24" s="1397"/>
      <c r="R24" s="1397">
        <f>+C24-P24-Q24</f>
        <v>0</v>
      </c>
      <c r="S24" s="1397">
        <f>+R24</f>
        <v>0</v>
      </c>
      <c r="T24" s="1397"/>
      <c r="U24" s="1460"/>
    </row>
    <row r="25" spans="1:21" s="1401" customFormat="1" ht="24">
      <c r="A25" s="1395" t="s">
        <v>60</v>
      </c>
      <c r="B25" s="1396" t="s">
        <v>553</v>
      </c>
      <c r="C25" s="1397">
        <f>+C26</f>
        <v>20</v>
      </c>
      <c r="D25" s="1397"/>
      <c r="E25" s="1397"/>
      <c r="F25" s="1397">
        <f t="shared" ref="F25:T25" si="14">+F26</f>
        <v>0</v>
      </c>
      <c r="G25" s="1397">
        <f t="shared" si="14"/>
        <v>0</v>
      </c>
      <c r="H25" s="1397">
        <f t="shared" si="14"/>
        <v>20</v>
      </c>
      <c r="I25" s="1397">
        <f t="shared" si="14"/>
        <v>0</v>
      </c>
      <c r="J25" s="1397">
        <f t="shared" si="14"/>
        <v>20</v>
      </c>
      <c r="K25" s="1397">
        <f t="shared" si="14"/>
        <v>0</v>
      </c>
      <c r="L25" s="1397">
        <f t="shared" si="14"/>
        <v>0</v>
      </c>
      <c r="M25" s="1397">
        <f t="shared" si="14"/>
        <v>0</v>
      </c>
      <c r="N25" s="1397">
        <f t="shared" si="14"/>
        <v>0</v>
      </c>
      <c r="O25" s="1397">
        <f t="shared" si="14"/>
        <v>0</v>
      </c>
      <c r="P25" s="1397">
        <f t="shared" si="14"/>
        <v>13.91442</v>
      </c>
      <c r="Q25" s="1397">
        <f t="shared" si="14"/>
        <v>0</v>
      </c>
      <c r="R25" s="1397">
        <f t="shared" si="14"/>
        <v>6.0855799999999984</v>
      </c>
      <c r="S25" s="1397">
        <f t="shared" si="14"/>
        <v>6.0855799999999984</v>
      </c>
      <c r="T25" s="1397">
        <f t="shared" si="14"/>
        <v>0</v>
      </c>
    </row>
    <row r="26" spans="1:21" s="1401" customFormat="1" ht="24">
      <c r="A26" s="1395" t="s">
        <v>60</v>
      </c>
      <c r="B26" s="1396" t="s">
        <v>629</v>
      </c>
      <c r="C26" s="1397">
        <f>+D26+H26</f>
        <v>20</v>
      </c>
      <c r="D26" s="1398"/>
      <c r="E26" s="1398"/>
      <c r="F26" s="1398">
        <f t="shared" ref="F26:T26" si="15">SUM(F27:F28)</f>
        <v>0</v>
      </c>
      <c r="G26" s="1398">
        <f t="shared" si="15"/>
        <v>0</v>
      </c>
      <c r="H26" s="1397">
        <f t="shared" si="8"/>
        <v>20</v>
      </c>
      <c r="I26" s="1398">
        <f t="shared" si="15"/>
        <v>0</v>
      </c>
      <c r="J26" s="1398">
        <f t="shared" si="15"/>
        <v>20</v>
      </c>
      <c r="K26" s="1398">
        <f t="shared" si="15"/>
        <v>0</v>
      </c>
      <c r="L26" s="1398">
        <f t="shared" si="15"/>
        <v>0</v>
      </c>
      <c r="M26" s="1398">
        <f t="shared" si="15"/>
        <v>0</v>
      </c>
      <c r="N26" s="1398">
        <f t="shared" si="15"/>
        <v>0</v>
      </c>
      <c r="O26" s="1398">
        <f t="shared" si="15"/>
        <v>0</v>
      </c>
      <c r="P26" s="1397">
        <f t="shared" si="15"/>
        <v>13.91442</v>
      </c>
      <c r="Q26" s="1398">
        <f t="shared" si="15"/>
        <v>0</v>
      </c>
      <c r="R26" s="1398">
        <f t="shared" si="15"/>
        <v>6.0855799999999984</v>
      </c>
      <c r="S26" s="1398">
        <f t="shared" si="15"/>
        <v>6.0855799999999984</v>
      </c>
      <c r="T26" s="1398">
        <f t="shared" si="15"/>
        <v>0</v>
      </c>
    </row>
    <row r="27" spans="1:21" s="1401" customFormat="1" ht="12">
      <c r="A27" s="1395" t="s">
        <v>106</v>
      </c>
      <c r="B27" s="1458" t="s">
        <v>551</v>
      </c>
      <c r="C27" s="1397">
        <f>+D27+H27</f>
        <v>19.399999999999999</v>
      </c>
      <c r="D27" s="1398"/>
      <c r="E27" s="1398"/>
      <c r="F27" s="1398"/>
      <c r="G27" s="1398"/>
      <c r="H27" s="1397">
        <f t="shared" si="8"/>
        <v>19.399999999999999</v>
      </c>
      <c r="I27" s="1399"/>
      <c r="J27" s="1399">
        <v>19.399999999999999</v>
      </c>
      <c r="K27" s="1399"/>
      <c r="L27" s="1399"/>
      <c r="M27" s="1399"/>
      <c r="N27" s="1399"/>
      <c r="O27" s="1399"/>
      <c r="P27" s="1397">
        <v>13.31442</v>
      </c>
      <c r="Q27" s="1397"/>
      <c r="R27" s="1397">
        <f>+C27-P27-Q27</f>
        <v>6.0855799999999984</v>
      </c>
      <c r="S27" s="1397">
        <f>+R27</f>
        <v>6.0855799999999984</v>
      </c>
      <c r="T27" s="1397"/>
    </row>
    <row r="28" spans="1:21" s="1401" customFormat="1" ht="12">
      <c r="A28" s="1395" t="s">
        <v>106</v>
      </c>
      <c r="B28" s="1458" t="s">
        <v>560</v>
      </c>
      <c r="C28" s="1397">
        <f>+D28+H28</f>
        <v>0.6</v>
      </c>
      <c r="D28" s="1398"/>
      <c r="E28" s="1398"/>
      <c r="F28" s="1398"/>
      <c r="G28" s="1398"/>
      <c r="H28" s="1397">
        <f t="shared" si="8"/>
        <v>0.6</v>
      </c>
      <c r="I28" s="1399"/>
      <c r="J28" s="1399">
        <v>0.6</v>
      </c>
      <c r="K28" s="1399"/>
      <c r="L28" s="1399"/>
      <c r="M28" s="1399"/>
      <c r="N28" s="1399"/>
      <c r="O28" s="1399"/>
      <c r="P28" s="1397">
        <v>0.6</v>
      </c>
      <c r="Q28" s="1397"/>
      <c r="R28" s="1397">
        <f>+C28-P28-Q28</f>
        <v>0</v>
      </c>
      <c r="S28" s="1397"/>
      <c r="T28" s="1397"/>
    </row>
    <row r="29" spans="1:21" s="1401" customFormat="1" ht="24">
      <c r="A29" s="1395" t="s">
        <v>60</v>
      </c>
      <c r="B29" s="1396" t="s">
        <v>554</v>
      </c>
      <c r="C29" s="1397">
        <f>+C30</f>
        <v>70</v>
      </c>
      <c r="D29" s="1397"/>
      <c r="E29" s="1397"/>
      <c r="F29" s="1397">
        <f t="shared" ref="F29:T29" si="16">+F30</f>
        <v>0</v>
      </c>
      <c r="G29" s="1397">
        <f t="shared" si="16"/>
        <v>0</v>
      </c>
      <c r="H29" s="1397">
        <f t="shared" si="16"/>
        <v>70</v>
      </c>
      <c r="I29" s="1397">
        <f t="shared" si="16"/>
        <v>0</v>
      </c>
      <c r="J29" s="1397">
        <f t="shared" si="16"/>
        <v>70</v>
      </c>
      <c r="K29" s="1397">
        <f t="shared" si="16"/>
        <v>0</v>
      </c>
      <c r="L29" s="1397">
        <f t="shared" si="16"/>
        <v>0</v>
      </c>
      <c r="M29" s="1397">
        <f t="shared" si="16"/>
        <v>0</v>
      </c>
      <c r="N29" s="1397">
        <f t="shared" si="16"/>
        <v>0</v>
      </c>
      <c r="O29" s="1397">
        <f t="shared" si="16"/>
        <v>0</v>
      </c>
      <c r="P29" s="1397">
        <f t="shared" si="16"/>
        <v>69.22999999999999</v>
      </c>
      <c r="Q29" s="1397">
        <f t="shared" si="16"/>
        <v>0</v>
      </c>
      <c r="R29" s="1397">
        <f t="shared" si="16"/>
        <v>0.77000000000001023</v>
      </c>
      <c r="S29" s="1397">
        <f t="shared" si="16"/>
        <v>0.77000000000001023</v>
      </c>
      <c r="T29" s="1397">
        <f t="shared" si="16"/>
        <v>0</v>
      </c>
    </row>
    <row r="30" spans="1:21" s="1401" customFormat="1" ht="24">
      <c r="A30" s="1395" t="s">
        <v>60</v>
      </c>
      <c r="B30" s="1396" t="s">
        <v>630</v>
      </c>
      <c r="C30" s="1397">
        <f>SUM(C31:C32)</f>
        <v>70</v>
      </c>
      <c r="D30" s="1397"/>
      <c r="E30" s="1397"/>
      <c r="F30" s="1397">
        <f t="shared" ref="F30:T30" si="17">SUM(F31:F32)</f>
        <v>0</v>
      </c>
      <c r="G30" s="1397">
        <f t="shared" si="17"/>
        <v>0</v>
      </c>
      <c r="H30" s="1397">
        <f t="shared" si="8"/>
        <v>70</v>
      </c>
      <c r="I30" s="1397">
        <f t="shared" si="17"/>
        <v>0</v>
      </c>
      <c r="J30" s="1397">
        <f t="shared" si="17"/>
        <v>70</v>
      </c>
      <c r="K30" s="1397">
        <f t="shared" si="17"/>
        <v>0</v>
      </c>
      <c r="L30" s="1397">
        <f t="shared" si="17"/>
        <v>0</v>
      </c>
      <c r="M30" s="1397">
        <f t="shared" si="17"/>
        <v>0</v>
      </c>
      <c r="N30" s="1397">
        <f t="shared" si="17"/>
        <v>0</v>
      </c>
      <c r="O30" s="1397">
        <f t="shared" si="17"/>
        <v>0</v>
      </c>
      <c r="P30" s="1397">
        <f>SUM(P31:P32)</f>
        <v>69.22999999999999</v>
      </c>
      <c r="Q30" s="1397">
        <f t="shared" si="17"/>
        <v>0</v>
      </c>
      <c r="R30" s="1397">
        <f t="shared" si="17"/>
        <v>0.77000000000001023</v>
      </c>
      <c r="S30" s="1397">
        <f>+R30</f>
        <v>0.77000000000001023</v>
      </c>
      <c r="T30" s="1397">
        <f t="shared" si="17"/>
        <v>0</v>
      </c>
    </row>
    <row r="31" spans="1:21" s="1401" customFormat="1" ht="12">
      <c r="A31" s="1395" t="s">
        <v>106</v>
      </c>
      <c r="B31" s="1458" t="s">
        <v>551</v>
      </c>
      <c r="C31" s="1397">
        <f>+D31+H31</f>
        <v>67.900000000000006</v>
      </c>
      <c r="D31" s="1398"/>
      <c r="E31" s="1398"/>
      <c r="F31" s="1397"/>
      <c r="G31" s="1398"/>
      <c r="H31" s="1397">
        <f t="shared" si="8"/>
        <v>67.900000000000006</v>
      </c>
      <c r="I31" s="1399"/>
      <c r="J31" s="1399">
        <v>67.900000000000006</v>
      </c>
      <c r="K31" s="1399"/>
      <c r="L31" s="1399"/>
      <c r="M31" s="1403"/>
      <c r="N31" s="1399"/>
      <c r="O31" s="1399"/>
      <c r="P31" s="1397">
        <f>(+[2]PL3!F16+[2]PL3!E16)/1000000</f>
        <v>67.13</v>
      </c>
      <c r="Q31" s="1397"/>
      <c r="R31" s="1397">
        <f>+C31-P31</f>
        <v>0.77000000000001023</v>
      </c>
      <c r="S31" s="1397">
        <f>+R31</f>
        <v>0.77000000000001023</v>
      </c>
      <c r="T31" s="1397"/>
    </row>
    <row r="32" spans="1:21" s="1401" customFormat="1" ht="12">
      <c r="A32" s="1395" t="s">
        <v>106</v>
      </c>
      <c r="B32" s="1458" t="s">
        <v>560</v>
      </c>
      <c r="C32" s="1397">
        <f>+D32+H32</f>
        <v>2.1</v>
      </c>
      <c r="D32" s="1398"/>
      <c r="E32" s="1398"/>
      <c r="F32" s="1398"/>
      <c r="G32" s="1398"/>
      <c r="H32" s="1397">
        <f t="shared" si="8"/>
        <v>2.1</v>
      </c>
      <c r="I32" s="1399"/>
      <c r="J32" s="1399">
        <v>2.1</v>
      </c>
      <c r="K32" s="1399"/>
      <c r="L32" s="1399"/>
      <c r="M32" s="1399"/>
      <c r="N32" s="1399"/>
      <c r="O32" s="1399"/>
      <c r="P32" s="1397">
        <v>2.1</v>
      </c>
      <c r="Q32" s="1397"/>
      <c r="R32" s="1397">
        <f>+C32-P32-Q32</f>
        <v>0</v>
      </c>
      <c r="S32" s="1397"/>
      <c r="T32" s="1397"/>
    </row>
    <row r="33" spans="1:20" s="1401" customFormat="1" ht="24">
      <c r="A33" s="1395" t="s">
        <v>60</v>
      </c>
      <c r="B33" s="1396" t="s">
        <v>555</v>
      </c>
      <c r="C33" s="1398">
        <f>SUM(C34:C35)</f>
        <v>265.17106799999999</v>
      </c>
      <c r="D33" s="1398">
        <f>SUM(D34:D35)</f>
        <v>85.171068000000005</v>
      </c>
      <c r="E33" s="1398">
        <f t="shared" ref="E33:Q33" si="18">SUM(E34:E35)</f>
        <v>85.171068000000005</v>
      </c>
      <c r="F33" s="1398">
        <f t="shared" si="18"/>
        <v>0</v>
      </c>
      <c r="G33" s="1398">
        <f t="shared" si="18"/>
        <v>0</v>
      </c>
      <c r="H33" s="1397">
        <f t="shared" si="8"/>
        <v>180.00000000000003</v>
      </c>
      <c r="I33" s="1398">
        <f t="shared" si="18"/>
        <v>0</v>
      </c>
      <c r="J33" s="1398">
        <f t="shared" si="18"/>
        <v>180.00000000000003</v>
      </c>
      <c r="K33" s="1398">
        <f t="shared" si="18"/>
        <v>0</v>
      </c>
      <c r="L33" s="1398">
        <f t="shared" si="18"/>
        <v>0</v>
      </c>
      <c r="M33" s="1398">
        <f t="shared" si="18"/>
        <v>0</v>
      </c>
      <c r="N33" s="1398">
        <f t="shared" si="18"/>
        <v>0</v>
      </c>
      <c r="O33" s="1398">
        <f t="shared" si="18"/>
        <v>0</v>
      </c>
      <c r="P33" s="1398">
        <f t="shared" si="18"/>
        <v>245.73522800000001</v>
      </c>
      <c r="Q33" s="1398">
        <f t="shared" si="18"/>
        <v>0</v>
      </c>
      <c r="R33" s="1398">
        <f>SUM(R34:R35)</f>
        <v>19.435840000000013</v>
      </c>
      <c r="S33" s="1398">
        <f>SUM(S34:S35)</f>
        <v>19.435840000000013</v>
      </c>
      <c r="T33" s="1398">
        <f>SUM(T34:T35)</f>
        <v>0</v>
      </c>
    </row>
    <row r="34" spans="1:20" s="1401" customFormat="1" ht="12">
      <c r="A34" s="1395" t="s">
        <v>106</v>
      </c>
      <c r="B34" s="1458" t="s">
        <v>551</v>
      </c>
      <c r="C34" s="1398">
        <f>+C37+C40</f>
        <v>259.77106800000001</v>
      </c>
      <c r="D34" s="1398">
        <f>+D37+D40</f>
        <v>85.171068000000005</v>
      </c>
      <c r="E34" s="1398">
        <f>+E37+E40</f>
        <v>85.171068000000005</v>
      </c>
      <c r="F34" s="1398">
        <f t="shared" ref="F34:T35" si="19">+F37+F40</f>
        <v>0</v>
      </c>
      <c r="G34" s="1398">
        <f t="shared" si="19"/>
        <v>0</v>
      </c>
      <c r="H34" s="1397">
        <f t="shared" si="8"/>
        <v>174.60000000000002</v>
      </c>
      <c r="I34" s="1398">
        <f t="shared" si="19"/>
        <v>0</v>
      </c>
      <c r="J34" s="1398">
        <f t="shared" si="19"/>
        <v>174.60000000000002</v>
      </c>
      <c r="K34" s="1398">
        <f t="shared" si="19"/>
        <v>0</v>
      </c>
      <c r="L34" s="1398">
        <f t="shared" si="19"/>
        <v>0</v>
      </c>
      <c r="M34" s="1398">
        <f t="shared" si="19"/>
        <v>0</v>
      </c>
      <c r="N34" s="1398">
        <f t="shared" si="19"/>
        <v>0</v>
      </c>
      <c r="O34" s="1398">
        <f t="shared" si="19"/>
        <v>0</v>
      </c>
      <c r="P34" s="1398">
        <f t="shared" si="19"/>
        <v>240.335228</v>
      </c>
      <c r="Q34" s="1398">
        <f t="shared" si="19"/>
        <v>0</v>
      </c>
      <c r="R34" s="1398">
        <f t="shared" si="19"/>
        <v>19.435840000000013</v>
      </c>
      <c r="S34" s="1398">
        <f t="shared" si="19"/>
        <v>19.435840000000013</v>
      </c>
      <c r="T34" s="1398">
        <f t="shared" si="19"/>
        <v>0</v>
      </c>
    </row>
    <row r="35" spans="1:20" s="1401" customFormat="1" ht="12">
      <c r="A35" s="1395" t="s">
        <v>106</v>
      </c>
      <c r="B35" s="1458" t="s">
        <v>560</v>
      </c>
      <c r="C35" s="1398">
        <f>+C38+C41</f>
        <v>5.4</v>
      </c>
      <c r="D35" s="1398"/>
      <c r="E35" s="1398"/>
      <c r="F35" s="1398">
        <f t="shared" si="19"/>
        <v>0</v>
      </c>
      <c r="G35" s="1398">
        <f t="shared" si="19"/>
        <v>0</v>
      </c>
      <c r="H35" s="1397">
        <f t="shared" si="8"/>
        <v>5.4</v>
      </c>
      <c r="I35" s="1398">
        <f t="shared" si="19"/>
        <v>0</v>
      </c>
      <c r="J35" s="1398">
        <f t="shared" si="19"/>
        <v>5.4</v>
      </c>
      <c r="K35" s="1398">
        <f t="shared" si="19"/>
        <v>0</v>
      </c>
      <c r="L35" s="1398">
        <f t="shared" si="19"/>
        <v>0</v>
      </c>
      <c r="M35" s="1398">
        <f t="shared" si="19"/>
        <v>0</v>
      </c>
      <c r="N35" s="1398">
        <f t="shared" si="19"/>
        <v>0</v>
      </c>
      <c r="O35" s="1398">
        <f t="shared" si="19"/>
        <v>0</v>
      </c>
      <c r="P35" s="1398">
        <f t="shared" si="19"/>
        <v>5.4</v>
      </c>
      <c r="Q35" s="1398">
        <f t="shared" si="19"/>
        <v>0</v>
      </c>
      <c r="R35" s="1398">
        <f t="shared" si="19"/>
        <v>0</v>
      </c>
      <c r="S35" s="1398">
        <f t="shared" si="19"/>
        <v>0</v>
      </c>
      <c r="T35" s="1398">
        <f t="shared" si="19"/>
        <v>0</v>
      </c>
    </row>
    <row r="36" spans="1:20" s="1401" customFormat="1" ht="24">
      <c r="A36" s="1395" t="s">
        <v>60</v>
      </c>
      <c r="B36" s="1396" t="s">
        <v>631</v>
      </c>
      <c r="C36" s="1397">
        <f>+D36+H36</f>
        <v>177.71734000000001</v>
      </c>
      <c r="D36" s="1398">
        <f>SUM(D37:D38)</f>
        <v>57.71734</v>
      </c>
      <c r="E36" s="1398">
        <f t="shared" ref="E36:T36" si="20">SUM(E37:E38)</f>
        <v>57.71734</v>
      </c>
      <c r="F36" s="1398">
        <f t="shared" si="20"/>
        <v>0</v>
      </c>
      <c r="G36" s="1398">
        <f t="shared" si="20"/>
        <v>0</v>
      </c>
      <c r="H36" s="1397">
        <f t="shared" si="8"/>
        <v>120</v>
      </c>
      <c r="I36" s="1398">
        <f>SUM(I37:I38)</f>
        <v>0</v>
      </c>
      <c r="J36" s="1398">
        <f t="shared" si="20"/>
        <v>120</v>
      </c>
      <c r="K36" s="1398">
        <f t="shared" si="20"/>
        <v>0</v>
      </c>
      <c r="L36" s="1398">
        <f t="shared" si="20"/>
        <v>0</v>
      </c>
      <c r="M36" s="1398">
        <f t="shared" si="20"/>
        <v>0</v>
      </c>
      <c r="N36" s="1398">
        <f t="shared" si="20"/>
        <v>0</v>
      </c>
      <c r="O36" s="1398">
        <f t="shared" si="20"/>
        <v>0</v>
      </c>
      <c r="P36" s="1398">
        <f>SUM(P37:P38)</f>
        <v>158.28149999999999</v>
      </c>
      <c r="Q36" s="1398">
        <f t="shared" si="20"/>
        <v>0</v>
      </c>
      <c r="R36" s="1398">
        <f t="shared" si="20"/>
        <v>19.435840000000013</v>
      </c>
      <c r="S36" s="1398">
        <f>+R36</f>
        <v>19.435840000000013</v>
      </c>
      <c r="T36" s="1398">
        <f t="shared" si="20"/>
        <v>0</v>
      </c>
    </row>
    <row r="37" spans="1:20" s="1401" customFormat="1" ht="12">
      <c r="A37" s="1395" t="s">
        <v>106</v>
      </c>
      <c r="B37" s="1458" t="s">
        <v>551</v>
      </c>
      <c r="C37" s="1397">
        <f>+D37+H37</f>
        <v>174.11734000000001</v>
      </c>
      <c r="D37" s="1398">
        <f>SUM(E37:G37)</f>
        <v>57.71734</v>
      </c>
      <c r="E37" s="1398">
        <v>57.71734</v>
      </c>
      <c r="F37" s="1398"/>
      <c r="G37" s="1398"/>
      <c r="H37" s="1397">
        <f t="shared" si="8"/>
        <v>116.4</v>
      </c>
      <c r="I37" s="1399"/>
      <c r="J37" s="1399">
        <v>116.4</v>
      </c>
      <c r="K37" s="1399"/>
      <c r="L37" s="1399"/>
      <c r="M37" s="1399"/>
      <c r="N37" s="1399"/>
      <c r="O37" s="1399"/>
      <c r="P37" s="1397">
        <v>154.6815</v>
      </c>
      <c r="Q37" s="1397"/>
      <c r="R37" s="1397">
        <f>+C37-P37-Q37</f>
        <v>19.435840000000013</v>
      </c>
      <c r="S37" s="1398">
        <f>+R37</f>
        <v>19.435840000000013</v>
      </c>
      <c r="T37" s="1397"/>
    </row>
    <row r="38" spans="1:20" s="1401" customFormat="1" ht="12">
      <c r="A38" s="1395" t="s">
        <v>106</v>
      </c>
      <c r="B38" s="1458" t="s">
        <v>560</v>
      </c>
      <c r="C38" s="1397">
        <f>+D38+H38</f>
        <v>3.6</v>
      </c>
      <c r="D38" s="1398"/>
      <c r="E38" s="1398"/>
      <c r="F38" s="1398"/>
      <c r="G38" s="1398"/>
      <c r="H38" s="1397">
        <f t="shared" si="8"/>
        <v>3.6</v>
      </c>
      <c r="I38" s="1399"/>
      <c r="J38" s="1399">
        <v>3.6</v>
      </c>
      <c r="K38" s="1399"/>
      <c r="L38" s="1399"/>
      <c r="M38" s="1399"/>
      <c r="N38" s="1399"/>
      <c r="O38" s="1399"/>
      <c r="P38" s="1397">
        <v>3.6</v>
      </c>
      <c r="Q38" s="1397"/>
      <c r="R38" s="1397">
        <f>+C38-P38-Q38</f>
        <v>0</v>
      </c>
      <c r="S38" s="1397"/>
      <c r="T38" s="1397"/>
    </row>
    <row r="39" spans="1:20" s="1401" customFormat="1" ht="12">
      <c r="A39" s="1395" t="s">
        <v>60</v>
      </c>
      <c r="B39" s="1396" t="s">
        <v>632</v>
      </c>
      <c r="C39" s="1398">
        <f>SUM(C40:C41)</f>
        <v>87.453727999999998</v>
      </c>
      <c r="D39" s="1398">
        <f>SUM(D40:D41)</f>
        <v>27.453728000000002</v>
      </c>
      <c r="E39" s="1398">
        <f t="shared" ref="E39:T39" si="21">SUM(E40:E41)</f>
        <v>27.453728000000002</v>
      </c>
      <c r="F39" s="1398">
        <f t="shared" si="21"/>
        <v>0</v>
      </c>
      <c r="G39" s="1398">
        <f t="shared" si="21"/>
        <v>0</v>
      </c>
      <c r="H39" s="1397">
        <f t="shared" si="8"/>
        <v>60</v>
      </c>
      <c r="I39" s="1398">
        <f t="shared" si="21"/>
        <v>0</v>
      </c>
      <c r="J39" s="1398">
        <f t="shared" si="21"/>
        <v>60</v>
      </c>
      <c r="K39" s="1398">
        <f t="shared" si="21"/>
        <v>0</v>
      </c>
      <c r="L39" s="1398">
        <f t="shared" si="21"/>
        <v>0</v>
      </c>
      <c r="M39" s="1398">
        <f t="shared" si="21"/>
        <v>0</v>
      </c>
      <c r="N39" s="1398">
        <f t="shared" si="21"/>
        <v>0</v>
      </c>
      <c r="O39" s="1398">
        <f t="shared" si="21"/>
        <v>0</v>
      </c>
      <c r="P39" s="1398">
        <f t="shared" si="21"/>
        <v>87.453727999999998</v>
      </c>
      <c r="Q39" s="1398">
        <f t="shared" si="21"/>
        <v>0</v>
      </c>
      <c r="R39" s="1398">
        <f t="shared" si="21"/>
        <v>0</v>
      </c>
      <c r="S39" s="1398">
        <f t="shared" si="21"/>
        <v>0</v>
      </c>
      <c r="T39" s="1398">
        <f t="shared" si="21"/>
        <v>0</v>
      </c>
    </row>
    <row r="40" spans="1:20" s="1401" customFormat="1" ht="12">
      <c r="A40" s="1395" t="s">
        <v>106</v>
      </c>
      <c r="B40" s="1458" t="s">
        <v>551</v>
      </c>
      <c r="C40" s="1397">
        <f>+D40+H40</f>
        <v>85.653728000000001</v>
      </c>
      <c r="D40" s="1398">
        <f>SUM(E40:G40)</f>
        <v>27.453728000000002</v>
      </c>
      <c r="E40" s="1398">
        <v>27.453728000000002</v>
      </c>
      <c r="F40" s="1398"/>
      <c r="G40" s="1398"/>
      <c r="H40" s="1397">
        <f t="shared" si="8"/>
        <v>58.2</v>
      </c>
      <c r="I40" s="1399"/>
      <c r="J40" s="1399">
        <v>58.2</v>
      </c>
      <c r="K40" s="1399"/>
      <c r="L40" s="1399"/>
      <c r="M40" s="1399"/>
      <c r="N40" s="1399"/>
      <c r="O40" s="1399"/>
      <c r="P40" s="1397">
        <v>85.653728000000001</v>
      </c>
      <c r="Q40" s="1397"/>
      <c r="R40" s="1397">
        <f>+C40-P40-Q40</f>
        <v>0</v>
      </c>
      <c r="S40" s="1397">
        <f>+R40</f>
        <v>0</v>
      </c>
      <c r="T40" s="1397"/>
    </row>
    <row r="41" spans="1:20" s="1401" customFormat="1" ht="12">
      <c r="A41" s="1395" t="s">
        <v>106</v>
      </c>
      <c r="B41" s="1458" t="s">
        <v>560</v>
      </c>
      <c r="C41" s="1397">
        <f>+D41+H41</f>
        <v>1.8</v>
      </c>
      <c r="D41" s="1398"/>
      <c r="E41" s="1398"/>
      <c r="F41" s="1398"/>
      <c r="G41" s="1398"/>
      <c r="H41" s="1397">
        <f t="shared" si="8"/>
        <v>1.8</v>
      </c>
      <c r="I41" s="1399"/>
      <c r="J41" s="1399">
        <v>1.8</v>
      </c>
      <c r="K41" s="1399"/>
      <c r="L41" s="1399"/>
      <c r="M41" s="1399"/>
      <c r="N41" s="1399"/>
      <c r="O41" s="1399"/>
      <c r="P41" s="1397">
        <v>1.8</v>
      </c>
      <c r="Q41" s="1397"/>
      <c r="R41" s="1397">
        <f>+C41-P41-Q41</f>
        <v>0</v>
      </c>
      <c r="S41" s="1397">
        <f>+R41</f>
        <v>0</v>
      </c>
      <c r="T41" s="1397"/>
    </row>
    <row r="42" spans="1:20" s="1389" customFormat="1" ht="24">
      <c r="A42" s="1455" t="s">
        <v>139</v>
      </c>
      <c r="B42" s="1456" t="s">
        <v>593</v>
      </c>
      <c r="C42" s="1390">
        <f t="shared" ref="C42:T42" si="22">+C43+C52</f>
        <v>2697.2960000000003</v>
      </c>
      <c r="D42" s="1390">
        <f t="shared" si="22"/>
        <v>766.09999999999991</v>
      </c>
      <c r="E42" s="1390">
        <f t="shared" si="22"/>
        <v>766.09999999999991</v>
      </c>
      <c r="F42" s="1390">
        <f t="shared" si="22"/>
        <v>0</v>
      </c>
      <c r="G42" s="1390">
        <f t="shared" si="22"/>
        <v>0</v>
      </c>
      <c r="H42" s="1390">
        <f t="shared" si="22"/>
        <v>1931.1959999999999</v>
      </c>
      <c r="I42" s="1390">
        <f t="shared" si="22"/>
        <v>238.196</v>
      </c>
      <c r="J42" s="1390">
        <f t="shared" si="22"/>
        <v>1185</v>
      </c>
      <c r="K42" s="1390">
        <f t="shared" si="22"/>
        <v>508</v>
      </c>
      <c r="L42" s="1390">
        <f t="shared" si="22"/>
        <v>0</v>
      </c>
      <c r="M42" s="1390">
        <f t="shared" si="22"/>
        <v>60</v>
      </c>
      <c r="N42" s="1390">
        <f t="shared" si="22"/>
        <v>60</v>
      </c>
      <c r="O42" s="1390">
        <f t="shared" si="22"/>
        <v>0</v>
      </c>
      <c r="P42" s="1390">
        <f t="shared" si="22"/>
        <v>2599.34</v>
      </c>
      <c r="Q42" s="1390">
        <f t="shared" si="22"/>
        <v>0</v>
      </c>
      <c r="R42" s="1390">
        <f t="shared" si="22"/>
        <v>97.956000000000131</v>
      </c>
      <c r="S42" s="1390">
        <f t="shared" si="22"/>
        <v>97.956000000000131</v>
      </c>
      <c r="T42" s="1390">
        <f t="shared" si="22"/>
        <v>0</v>
      </c>
    </row>
    <row r="43" spans="1:20" s="1389" customFormat="1" ht="60">
      <c r="A43" s="1455">
        <v>1</v>
      </c>
      <c r="B43" s="1156" t="s">
        <v>1212</v>
      </c>
      <c r="C43" s="1441">
        <f>+C44+C45</f>
        <v>2211.2960000000003</v>
      </c>
      <c r="D43" s="1441">
        <f t="shared" ref="D43:T43" si="23">+D44+D45</f>
        <v>466.09999999999997</v>
      </c>
      <c r="E43" s="1441">
        <f t="shared" si="23"/>
        <v>466.09999999999997</v>
      </c>
      <c r="F43" s="1441">
        <f t="shared" si="23"/>
        <v>0</v>
      </c>
      <c r="G43" s="1441">
        <f t="shared" si="23"/>
        <v>0</v>
      </c>
      <c r="H43" s="1441">
        <f t="shared" si="23"/>
        <v>1745.1959999999999</v>
      </c>
      <c r="I43" s="1441">
        <f t="shared" si="23"/>
        <v>238.196</v>
      </c>
      <c r="J43" s="1441">
        <f t="shared" si="23"/>
        <v>999</v>
      </c>
      <c r="K43" s="1441">
        <f t="shared" si="23"/>
        <v>508</v>
      </c>
      <c r="L43" s="1441">
        <f t="shared" si="23"/>
        <v>0</v>
      </c>
      <c r="M43" s="1441">
        <f t="shared" si="23"/>
        <v>0</v>
      </c>
      <c r="N43" s="1441">
        <f t="shared" si="23"/>
        <v>0</v>
      </c>
      <c r="O43" s="1441">
        <f t="shared" si="23"/>
        <v>0</v>
      </c>
      <c r="P43" s="1441">
        <f t="shared" si="23"/>
        <v>2113.34</v>
      </c>
      <c r="Q43" s="1441">
        <f t="shared" si="23"/>
        <v>0</v>
      </c>
      <c r="R43" s="1441">
        <f t="shared" si="23"/>
        <v>97.956000000000131</v>
      </c>
      <c r="S43" s="1441">
        <f t="shared" si="23"/>
        <v>97.956000000000131</v>
      </c>
      <c r="T43" s="1441">
        <f t="shared" si="23"/>
        <v>0</v>
      </c>
    </row>
    <row r="44" spans="1:20" s="1401" customFormat="1" ht="12">
      <c r="A44" s="1395" t="s">
        <v>106</v>
      </c>
      <c r="B44" s="1458" t="s">
        <v>551</v>
      </c>
      <c r="C44" s="1397">
        <f>+C47+C50</f>
        <v>1840.96</v>
      </c>
      <c r="D44" s="1397">
        <f t="shared" ref="D44:S44" si="24">+D47+D50</f>
        <v>408.96</v>
      </c>
      <c r="E44" s="1397">
        <f t="shared" si="24"/>
        <v>408.96</v>
      </c>
      <c r="F44" s="1397">
        <f t="shared" si="24"/>
        <v>0</v>
      </c>
      <c r="G44" s="1397">
        <f t="shared" si="24"/>
        <v>0</v>
      </c>
      <c r="H44" s="1397">
        <f t="shared" si="24"/>
        <v>1432</v>
      </c>
      <c r="I44" s="1397">
        <f t="shared" si="24"/>
        <v>0</v>
      </c>
      <c r="J44" s="1397">
        <f t="shared" si="24"/>
        <v>941</v>
      </c>
      <c r="K44" s="1397">
        <f t="shared" si="24"/>
        <v>491</v>
      </c>
      <c r="L44" s="1397">
        <f t="shared" si="24"/>
        <v>0</v>
      </c>
      <c r="M44" s="1397">
        <f t="shared" si="24"/>
        <v>0</v>
      </c>
      <c r="N44" s="1397">
        <f t="shared" si="24"/>
        <v>0</v>
      </c>
      <c r="O44" s="1397">
        <f t="shared" si="24"/>
        <v>0</v>
      </c>
      <c r="P44" s="1397">
        <f t="shared" si="24"/>
        <v>1743.0039999999999</v>
      </c>
      <c r="Q44" s="1397">
        <f t="shared" si="24"/>
        <v>0</v>
      </c>
      <c r="R44" s="1397">
        <f t="shared" si="24"/>
        <v>97.956000000000131</v>
      </c>
      <c r="S44" s="1397">
        <f t="shared" si="24"/>
        <v>97.956000000000131</v>
      </c>
      <c r="T44" s="1397">
        <f>+T47+T50</f>
        <v>0</v>
      </c>
    </row>
    <row r="45" spans="1:20" s="1401" customFormat="1" ht="12">
      <c r="A45" s="1395" t="s">
        <v>106</v>
      </c>
      <c r="B45" s="1458" t="s">
        <v>560</v>
      </c>
      <c r="C45" s="1397">
        <f>+C48+C51</f>
        <v>370.33600000000001</v>
      </c>
      <c r="D45" s="1397">
        <f t="shared" ref="D45:S45" si="25">+D48+D51</f>
        <v>57.14</v>
      </c>
      <c r="E45" s="1397">
        <f t="shared" si="25"/>
        <v>57.14</v>
      </c>
      <c r="F45" s="1397">
        <f t="shared" si="25"/>
        <v>0</v>
      </c>
      <c r="G45" s="1397">
        <f t="shared" si="25"/>
        <v>0</v>
      </c>
      <c r="H45" s="1397">
        <f t="shared" si="25"/>
        <v>313.19600000000003</v>
      </c>
      <c r="I45" s="1397">
        <f t="shared" si="25"/>
        <v>238.196</v>
      </c>
      <c r="J45" s="1397">
        <f t="shared" si="25"/>
        <v>58</v>
      </c>
      <c r="K45" s="1397">
        <f t="shared" si="25"/>
        <v>17</v>
      </c>
      <c r="L45" s="1397">
        <f t="shared" si="25"/>
        <v>0</v>
      </c>
      <c r="M45" s="1397">
        <f t="shared" si="25"/>
        <v>0</v>
      </c>
      <c r="N45" s="1397">
        <f t="shared" si="25"/>
        <v>0</v>
      </c>
      <c r="O45" s="1397">
        <f t="shared" si="25"/>
        <v>0</v>
      </c>
      <c r="P45" s="1397">
        <f t="shared" si="25"/>
        <v>370.33600000000001</v>
      </c>
      <c r="Q45" s="1397">
        <f t="shared" si="25"/>
        <v>0</v>
      </c>
      <c r="R45" s="1397">
        <f t="shared" si="25"/>
        <v>0</v>
      </c>
      <c r="S45" s="1397">
        <f t="shared" si="25"/>
        <v>0</v>
      </c>
      <c r="T45" s="1397">
        <f>+T48+T51</f>
        <v>0</v>
      </c>
    </row>
    <row r="46" spans="1:20" s="1389" customFormat="1" ht="60">
      <c r="A46" s="1455" t="s">
        <v>298</v>
      </c>
      <c r="B46" s="1156" t="s">
        <v>1216</v>
      </c>
      <c r="C46" s="1441">
        <f>+C47+C48</f>
        <v>1973.1</v>
      </c>
      <c r="D46" s="1441">
        <f>+D47+D48</f>
        <v>466.09999999999997</v>
      </c>
      <c r="E46" s="1441">
        <f>+E47+E48</f>
        <v>466.09999999999997</v>
      </c>
      <c r="F46" s="1441">
        <f>+F47+F48</f>
        <v>0</v>
      </c>
      <c r="G46" s="1441">
        <f>+G47+G48</f>
        <v>0</v>
      </c>
      <c r="H46" s="1390">
        <f>+I46+J46+K46+L46+M46-N46-O46</f>
        <v>1507</v>
      </c>
      <c r="I46" s="1441">
        <f t="shared" ref="I46:L46" si="26">+I47+I48</f>
        <v>0</v>
      </c>
      <c r="J46" s="1441">
        <f t="shared" si="26"/>
        <v>999</v>
      </c>
      <c r="K46" s="1441">
        <f t="shared" si="26"/>
        <v>508</v>
      </c>
      <c r="L46" s="1441">
        <f t="shared" si="26"/>
        <v>0</v>
      </c>
      <c r="M46" s="1441">
        <f>+M47+M48</f>
        <v>0</v>
      </c>
      <c r="N46" s="1441">
        <f>+N47+N48</f>
        <v>0</v>
      </c>
      <c r="O46" s="1441">
        <f>+O47+O48</f>
        <v>0</v>
      </c>
      <c r="P46" s="1441">
        <f>+P47+P48</f>
        <v>1875.1439999999998</v>
      </c>
      <c r="Q46" s="1390">
        <f t="shared" ref="Q46:R46" si="27">+Q47+Q48</f>
        <v>0</v>
      </c>
      <c r="R46" s="1390">
        <f t="shared" si="27"/>
        <v>97.956000000000131</v>
      </c>
      <c r="S46" s="1390">
        <f>+S47+S48</f>
        <v>97.956000000000131</v>
      </c>
      <c r="T46" s="1390">
        <f t="shared" ref="T46" si="28">+T47+T48</f>
        <v>0</v>
      </c>
    </row>
    <row r="47" spans="1:20" s="1401" customFormat="1" ht="12">
      <c r="A47" s="1395" t="s">
        <v>106</v>
      </c>
      <c r="B47" s="1458" t="s">
        <v>551</v>
      </c>
      <c r="C47" s="1397">
        <f>+D47+H47</f>
        <v>1840.96</v>
      </c>
      <c r="D47" s="1397">
        <f>+E47+F47+G47</f>
        <v>408.96</v>
      </c>
      <c r="E47" s="1398">
        <v>408.96</v>
      </c>
      <c r="F47" s="1398">
        <f>+F56+F68</f>
        <v>0</v>
      </c>
      <c r="G47" s="1398">
        <f>+G56+G68</f>
        <v>0</v>
      </c>
      <c r="H47" s="1398">
        <f>+I47+J47+K47</f>
        <v>1432</v>
      </c>
      <c r="I47" s="1398">
        <f>+I56+I68</f>
        <v>0</v>
      </c>
      <c r="J47" s="1398">
        <v>941</v>
      </c>
      <c r="K47" s="1398">
        <f>508-17</f>
        <v>491</v>
      </c>
      <c r="L47" s="1398">
        <f>+L56+L68</f>
        <v>0</v>
      </c>
      <c r="M47" s="1398"/>
      <c r="N47" s="1398"/>
      <c r="O47" s="1398">
        <f>+O56+O68</f>
        <v>0</v>
      </c>
      <c r="P47" s="1398">
        <v>1743.0039999999999</v>
      </c>
      <c r="Q47" s="1398">
        <f>+Q56+Q68</f>
        <v>0</v>
      </c>
      <c r="R47" s="1397">
        <f>+C47-P47-Q47</f>
        <v>97.956000000000131</v>
      </c>
      <c r="S47" s="1398">
        <f>+R47</f>
        <v>97.956000000000131</v>
      </c>
      <c r="T47" s="1398">
        <f>+T56+T59+T62+T68</f>
        <v>0</v>
      </c>
    </row>
    <row r="48" spans="1:20" s="1401" customFormat="1" ht="12">
      <c r="A48" s="1395" t="s">
        <v>106</v>
      </c>
      <c r="B48" s="1458" t="s">
        <v>560</v>
      </c>
      <c r="C48" s="1397">
        <f>+D48+H48</f>
        <v>132.13999999999999</v>
      </c>
      <c r="D48" s="1397">
        <f>+E48+F48+G48</f>
        <v>57.14</v>
      </c>
      <c r="E48" s="1398">
        <v>57.14</v>
      </c>
      <c r="F48" s="1398">
        <f>+F57+F69</f>
        <v>0</v>
      </c>
      <c r="G48" s="1398">
        <f>+G57+G69</f>
        <v>0</v>
      </c>
      <c r="H48" s="1398">
        <f>+I48+J48+K48</f>
        <v>75</v>
      </c>
      <c r="I48" s="1398">
        <f>+I57+I69</f>
        <v>0</v>
      </c>
      <c r="J48" s="1398">
        <v>58</v>
      </c>
      <c r="K48" s="1398">
        <v>17</v>
      </c>
      <c r="L48" s="1398">
        <f>+L57+L69</f>
        <v>0</v>
      </c>
      <c r="M48" s="1398"/>
      <c r="N48" s="1398"/>
      <c r="O48" s="1398">
        <f>+O57+O69</f>
        <v>0</v>
      </c>
      <c r="P48" s="1398">
        <v>132.13999999999999</v>
      </c>
      <c r="Q48" s="1398">
        <f>+Q57+Q69</f>
        <v>0</v>
      </c>
      <c r="R48" s="1397">
        <f>+C48-P48-Q48</f>
        <v>0</v>
      </c>
      <c r="S48" s="1398">
        <f>+R48</f>
        <v>0</v>
      </c>
      <c r="T48" s="1398">
        <f>+T57+T60+T63+T69</f>
        <v>0</v>
      </c>
    </row>
    <row r="49" spans="1:20" s="1389" customFormat="1" ht="24">
      <c r="A49" s="1455" t="s">
        <v>225</v>
      </c>
      <c r="B49" s="1156" t="s">
        <v>1215</v>
      </c>
      <c r="C49" s="1441">
        <f>+C50+C51</f>
        <v>238.196</v>
      </c>
      <c r="D49" s="1441">
        <f>+D50+D51</f>
        <v>0</v>
      </c>
      <c r="E49" s="1441">
        <f>+E50+E51</f>
        <v>0</v>
      </c>
      <c r="F49" s="1441">
        <f>+F50+F51</f>
        <v>0</v>
      </c>
      <c r="G49" s="1441">
        <f>+G50+G51</f>
        <v>0</v>
      </c>
      <c r="H49" s="1390">
        <f>+I49+J49+K49+L49+M49-N49-O49</f>
        <v>238.196</v>
      </c>
      <c r="I49" s="1441">
        <f t="shared" ref="I49:L49" si="29">+I50+I51</f>
        <v>238.196</v>
      </c>
      <c r="J49" s="1441">
        <f t="shared" si="29"/>
        <v>0</v>
      </c>
      <c r="K49" s="1441">
        <f t="shared" si="29"/>
        <v>0</v>
      </c>
      <c r="L49" s="1441">
        <f t="shared" si="29"/>
        <v>0</v>
      </c>
      <c r="M49" s="1441">
        <f>+M50+M51</f>
        <v>0</v>
      </c>
      <c r="N49" s="1441">
        <f>+N50+N51</f>
        <v>0</v>
      </c>
      <c r="O49" s="1441">
        <f>+O50+O51</f>
        <v>0</v>
      </c>
      <c r="P49" s="1441">
        <f>+P50+P51</f>
        <v>238.196</v>
      </c>
      <c r="Q49" s="1390">
        <f t="shared" ref="Q49:R49" si="30">+Q50+Q51</f>
        <v>0</v>
      </c>
      <c r="R49" s="1390">
        <f t="shared" si="30"/>
        <v>0</v>
      </c>
      <c r="S49" s="1390">
        <f>+S50+S51</f>
        <v>0</v>
      </c>
      <c r="T49" s="1390">
        <f t="shared" ref="T49" si="31">+T50+T51</f>
        <v>0</v>
      </c>
    </row>
    <row r="50" spans="1:20" s="1401" customFormat="1" ht="12">
      <c r="A50" s="1395" t="s">
        <v>106</v>
      </c>
      <c r="B50" s="1458" t="s">
        <v>551</v>
      </c>
      <c r="C50" s="1397">
        <f>+D50+H50</f>
        <v>0</v>
      </c>
      <c r="D50" s="1397">
        <f>+E50+F50+G50</f>
        <v>0</v>
      </c>
      <c r="E50" s="1398"/>
      <c r="F50" s="1398">
        <f>+F56+F68</f>
        <v>0</v>
      </c>
      <c r="G50" s="1398">
        <f>+G56+G68</f>
        <v>0</v>
      </c>
      <c r="H50" s="1398">
        <f>+I50+J50+K50</f>
        <v>0</v>
      </c>
      <c r="I50" s="1398">
        <f>+I56+I68</f>
        <v>0</v>
      </c>
      <c r="J50" s="1398"/>
      <c r="K50" s="1398"/>
      <c r="L50" s="1398">
        <f>+L56+L68</f>
        <v>0</v>
      </c>
      <c r="M50" s="1398"/>
      <c r="N50" s="1398"/>
      <c r="O50" s="1398">
        <f>+O56+O68</f>
        <v>0</v>
      </c>
      <c r="P50" s="1398"/>
      <c r="Q50" s="1398">
        <f>+Q56+Q68</f>
        <v>0</v>
      </c>
      <c r="R50" s="1397">
        <f>+C50-P50-Q50</f>
        <v>0</v>
      </c>
      <c r="S50" s="1398">
        <f>+R50</f>
        <v>0</v>
      </c>
      <c r="T50" s="1398">
        <f>+T56+T59+T62+T68</f>
        <v>0</v>
      </c>
    </row>
    <row r="51" spans="1:20" s="1401" customFormat="1" ht="12">
      <c r="A51" s="1395" t="s">
        <v>106</v>
      </c>
      <c r="B51" s="1458" t="s">
        <v>560</v>
      </c>
      <c r="C51" s="1397">
        <f>+D51+H51</f>
        <v>238.196</v>
      </c>
      <c r="D51" s="1397">
        <f>+E51+F51+G51</f>
        <v>0</v>
      </c>
      <c r="E51" s="1398"/>
      <c r="F51" s="1398">
        <f>+F57+F69</f>
        <v>0</v>
      </c>
      <c r="G51" s="1398">
        <f>+G57+G69</f>
        <v>0</v>
      </c>
      <c r="H51" s="1398">
        <f>+I51+J51+K51</f>
        <v>238.196</v>
      </c>
      <c r="I51" s="1398">
        <v>238.196</v>
      </c>
      <c r="J51" s="1398"/>
      <c r="K51" s="1398"/>
      <c r="L51" s="1398">
        <f>+L57+L69</f>
        <v>0</v>
      </c>
      <c r="M51" s="1398"/>
      <c r="N51" s="1398"/>
      <c r="O51" s="1398">
        <f>+O57+O69</f>
        <v>0</v>
      </c>
      <c r="P51" s="1398">
        <v>238.196</v>
      </c>
      <c r="Q51" s="1398">
        <f>+Q57+Q69</f>
        <v>0</v>
      </c>
      <c r="R51" s="1397">
        <f>+C51-P51-Q51</f>
        <v>0</v>
      </c>
      <c r="S51" s="1398">
        <f>+R51</f>
        <v>0</v>
      </c>
      <c r="T51" s="1398">
        <f>+T57+T60+T63+T69</f>
        <v>0</v>
      </c>
    </row>
    <row r="52" spans="1:20" s="1389" customFormat="1" ht="12">
      <c r="A52" s="1461">
        <v>2</v>
      </c>
      <c r="B52" s="1461" t="s">
        <v>107</v>
      </c>
      <c r="C52" s="1390">
        <f t="shared" ref="C52:I52" si="32">SUM(C53:C54)</f>
        <v>486</v>
      </c>
      <c r="D52" s="1390">
        <f t="shared" si="32"/>
        <v>300</v>
      </c>
      <c r="E52" s="1390">
        <f t="shared" si="32"/>
        <v>300</v>
      </c>
      <c r="F52" s="1390">
        <f t="shared" si="32"/>
        <v>0</v>
      </c>
      <c r="G52" s="1390">
        <f t="shared" si="32"/>
        <v>0</v>
      </c>
      <c r="H52" s="1390">
        <f t="shared" si="32"/>
        <v>186</v>
      </c>
      <c r="I52" s="1390">
        <f t="shared" si="32"/>
        <v>0</v>
      </c>
      <c r="J52" s="1390">
        <f>SUM(J53:J54)</f>
        <v>186</v>
      </c>
      <c r="K52" s="1390">
        <f t="shared" ref="K52:T52" si="33">SUM(K53:K54)</f>
        <v>0</v>
      </c>
      <c r="L52" s="1390">
        <f t="shared" si="33"/>
        <v>0</v>
      </c>
      <c r="M52" s="1390">
        <f t="shared" si="33"/>
        <v>60</v>
      </c>
      <c r="N52" s="1390">
        <f t="shared" si="33"/>
        <v>60</v>
      </c>
      <c r="O52" s="1390">
        <f t="shared" si="33"/>
        <v>0</v>
      </c>
      <c r="P52" s="1390">
        <f t="shared" si="33"/>
        <v>486</v>
      </c>
      <c r="Q52" s="1390">
        <f t="shared" si="33"/>
        <v>0</v>
      </c>
      <c r="R52" s="1390">
        <f t="shared" si="33"/>
        <v>0</v>
      </c>
      <c r="S52" s="1390">
        <f t="shared" si="33"/>
        <v>0</v>
      </c>
      <c r="T52" s="1390">
        <f t="shared" si="33"/>
        <v>0</v>
      </c>
    </row>
    <row r="53" spans="1:20" s="1462" customFormat="1" ht="12">
      <c r="A53" s="1455"/>
      <c r="B53" s="1458" t="s">
        <v>551</v>
      </c>
      <c r="C53" s="1397">
        <f>+C56+C59+C65+C62</f>
        <v>466</v>
      </c>
      <c r="D53" s="1397">
        <f>+D56+D59+D65</f>
        <v>288</v>
      </c>
      <c r="E53" s="1397">
        <f>+E56+E59+E65+E62</f>
        <v>288</v>
      </c>
      <c r="F53" s="1397">
        <f t="shared" ref="F53:O53" si="34">+F56+F59+F65+F62</f>
        <v>0</v>
      </c>
      <c r="G53" s="1397">
        <f t="shared" si="34"/>
        <v>0</v>
      </c>
      <c r="H53" s="1397">
        <f t="shared" si="34"/>
        <v>178</v>
      </c>
      <c r="I53" s="1397">
        <f t="shared" si="34"/>
        <v>0</v>
      </c>
      <c r="J53" s="1397">
        <f t="shared" si="34"/>
        <v>178</v>
      </c>
      <c r="K53" s="1397">
        <f t="shared" si="34"/>
        <v>0</v>
      </c>
      <c r="L53" s="1397">
        <f t="shared" si="34"/>
        <v>0</v>
      </c>
      <c r="M53" s="1397">
        <f t="shared" si="34"/>
        <v>57.5</v>
      </c>
      <c r="N53" s="1397">
        <f t="shared" si="34"/>
        <v>57.5</v>
      </c>
      <c r="O53" s="1397">
        <f t="shared" si="34"/>
        <v>0</v>
      </c>
      <c r="P53" s="1397">
        <f>+P56+P59+P65+P62</f>
        <v>466</v>
      </c>
      <c r="Q53" s="1397">
        <f t="shared" ref="Q53:T54" si="35">+Q56+Q59+Q65</f>
        <v>0</v>
      </c>
      <c r="R53" s="1397">
        <f t="shared" si="35"/>
        <v>0</v>
      </c>
      <c r="S53" s="1397">
        <f t="shared" si="35"/>
        <v>0</v>
      </c>
      <c r="T53" s="1397">
        <f t="shared" si="35"/>
        <v>0</v>
      </c>
    </row>
    <row r="54" spans="1:20" s="1462" customFormat="1" ht="12">
      <c r="A54" s="1455"/>
      <c r="B54" s="1458" t="s">
        <v>560</v>
      </c>
      <c r="C54" s="1397">
        <f>+C57+C60+C66+C63</f>
        <v>20</v>
      </c>
      <c r="D54" s="1397">
        <f>+D57+D60+D66</f>
        <v>12</v>
      </c>
      <c r="E54" s="1397">
        <f>+E57+E60+E66+E63</f>
        <v>12</v>
      </c>
      <c r="F54" s="1397">
        <f t="shared" ref="F54:O54" si="36">+F57+F60+F66+F63</f>
        <v>0</v>
      </c>
      <c r="G54" s="1397">
        <f t="shared" si="36"/>
        <v>0</v>
      </c>
      <c r="H54" s="1397">
        <f t="shared" si="36"/>
        <v>8</v>
      </c>
      <c r="I54" s="1397">
        <f t="shared" si="36"/>
        <v>0</v>
      </c>
      <c r="J54" s="1397">
        <f t="shared" si="36"/>
        <v>8</v>
      </c>
      <c r="K54" s="1397">
        <f t="shared" si="36"/>
        <v>0</v>
      </c>
      <c r="L54" s="1397">
        <f t="shared" si="36"/>
        <v>0</v>
      </c>
      <c r="M54" s="1397">
        <f t="shared" si="36"/>
        <v>2.5</v>
      </c>
      <c r="N54" s="1397">
        <f t="shared" si="36"/>
        <v>2.5</v>
      </c>
      <c r="O54" s="1397">
        <f t="shared" si="36"/>
        <v>0</v>
      </c>
      <c r="P54" s="1397">
        <f>+P57+P60+P66+P63</f>
        <v>20</v>
      </c>
      <c r="Q54" s="1397">
        <f t="shared" si="35"/>
        <v>0</v>
      </c>
      <c r="R54" s="1397">
        <f t="shared" si="35"/>
        <v>0</v>
      </c>
      <c r="S54" s="1397">
        <f t="shared" si="35"/>
        <v>0</v>
      </c>
      <c r="T54" s="1397">
        <f t="shared" si="35"/>
        <v>0</v>
      </c>
    </row>
    <row r="55" spans="1:20" s="1401" customFormat="1" ht="48">
      <c r="A55" s="1455" t="s">
        <v>227</v>
      </c>
      <c r="B55" s="1463" t="s">
        <v>556</v>
      </c>
      <c r="C55" s="1398">
        <f>+C56+C57</f>
        <v>0</v>
      </c>
      <c r="D55" s="1398"/>
      <c r="E55" s="1398"/>
      <c r="F55" s="1398">
        <f>+F56+F57</f>
        <v>0</v>
      </c>
      <c r="G55" s="1398">
        <f>+G56+G57</f>
        <v>0</v>
      </c>
      <c r="H55" s="1397">
        <f t="shared" si="8"/>
        <v>0</v>
      </c>
      <c r="I55" s="1398">
        <f>SUM(I56:I57)</f>
        <v>0</v>
      </c>
      <c r="J55" s="1398">
        <f t="shared" ref="J55:S55" si="37">SUM(J56:J57)</f>
        <v>45</v>
      </c>
      <c r="K55" s="1398">
        <f t="shared" si="37"/>
        <v>0</v>
      </c>
      <c r="L55" s="1398">
        <f t="shared" si="37"/>
        <v>0</v>
      </c>
      <c r="M55" s="1398">
        <f t="shared" si="37"/>
        <v>0</v>
      </c>
      <c r="N55" s="1398">
        <f t="shared" si="37"/>
        <v>45</v>
      </c>
      <c r="O55" s="1398">
        <f t="shared" si="37"/>
        <v>0</v>
      </c>
      <c r="P55" s="1398">
        <f t="shared" si="37"/>
        <v>0</v>
      </c>
      <c r="Q55" s="1398">
        <f t="shared" si="37"/>
        <v>0</v>
      </c>
      <c r="R55" s="1398">
        <f t="shared" si="37"/>
        <v>0</v>
      </c>
      <c r="S55" s="1398">
        <f t="shared" si="37"/>
        <v>0</v>
      </c>
      <c r="T55" s="1397">
        <f>SUM(T56:T57)</f>
        <v>0</v>
      </c>
    </row>
    <row r="56" spans="1:20" s="1401" customFormat="1" ht="12">
      <c r="A56" s="1395" t="s">
        <v>106</v>
      </c>
      <c r="B56" s="1458" t="s">
        <v>551</v>
      </c>
      <c r="C56" s="1397">
        <f>+D56+H56</f>
        <v>0</v>
      </c>
      <c r="D56" s="1398"/>
      <c r="E56" s="1398"/>
      <c r="F56" s="1398"/>
      <c r="G56" s="1398"/>
      <c r="H56" s="1397">
        <f t="shared" si="8"/>
        <v>0</v>
      </c>
      <c r="I56" s="1399"/>
      <c r="J56" s="1399">
        <v>43</v>
      </c>
      <c r="K56" s="1399"/>
      <c r="L56" s="1399"/>
      <c r="M56" s="1399"/>
      <c r="N56" s="1399">
        <f>+J56</f>
        <v>43</v>
      </c>
      <c r="O56" s="1399"/>
      <c r="P56" s="1397"/>
      <c r="Q56" s="1397"/>
      <c r="R56" s="1397"/>
      <c r="S56" s="1397"/>
      <c r="T56" s="1397"/>
    </row>
    <row r="57" spans="1:20" s="1401" customFormat="1" ht="12">
      <c r="A57" s="1395" t="s">
        <v>106</v>
      </c>
      <c r="B57" s="1458" t="s">
        <v>560</v>
      </c>
      <c r="C57" s="1397">
        <f>+D57+H57</f>
        <v>0</v>
      </c>
      <c r="D57" s="1398"/>
      <c r="E57" s="1398"/>
      <c r="F57" s="1398"/>
      <c r="G57" s="1398"/>
      <c r="H57" s="1397">
        <f t="shared" si="8"/>
        <v>0</v>
      </c>
      <c r="I57" s="1399"/>
      <c r="J57" s="1399">
        <v>2</v>
      </c>
      <c r="K57" s="1399"/>
      <c r="L57" s="1399"/>
      <c r="M57" s="1399"/>
      <c r="N57" s="1399">
        <f>+J57</f>
        <v>2</v>
      </c>
      <c r="O57" s="1403"/>
      <c r="P57" s="1397"/>
      <c r="Q57" s="1397"/>
      <c r="R57" s="1397"/>
      <c r="S57" s="1397"/>
      <c r="T57" s="1397"/>
    </row>
    <row r="58" spans="1:20" s="1401" customFormat="1" ht="60">
      <c r="A58" s="1455" t="s">
        <v>228</v>
      </c>
      <c r="B58" s="1463" t="s">
        <v>937</v>
      </c>
      <c r="C58" s="1398">
        <f t="shared" ref="C58:T58" si="38">SUM(C59:C60)</f>
        <v>460</v>
      </c>
      <c r="D58" s="1398">
        <f t="shared" si="38"/>
        <v>300</v>
      </c>
      <c r="E58" s="1398">
        <f t="shared" si="38"/>
        <v>300</v>
      </c>
      <c r="F58" s="1398">
        <f t="shared" si="38"/>
        <v>0</v>
      </c>
      <c r="G58" s="1398">
        <f t="shared" si="38"/>
        <v>0</v>
      </c>
      <c r="H58" s="1397">
        <f t="shared" si="8"/>
        <v>160</v>
      </c>
      <c r="I58" s="1398">
        <f t="shared" si="38"/>
        <v>0</v>
      </c>
      <c r="J58" s="1398">
        <f t="shared" si="38"/>
        <v>100</v>
      </c>
      <c r="K58" s="1398">
        <f t="shared" si="38"/>
        <v>0</v>
      </c>
      <c r="L58" s="1398">
        <f t="shared" si="38"/>
        <v>0</v>
      </c>
      <c r="M58" s="1398">
        <f t="shared" si="38"/>
        <v>60</v>
      </c>
      <c r="N58" s="1398">
        <f t="shared" si="38"/>
        <v>0</v>
      </c>
      <c r="O58" s="1398">
        <f t="shared" si="38"/>
        <v>0</v>
      </c>
      <c r="P58" s="1398">
        <f t="shared" si="38"/>
        <v>460</v>
      </c>
      <c r="Q58" s="1398">
        <f t="shared" si="38"/>
        <v>0</v>
      </c>
      <c r="R58" s="1398">
        <f>SUM(R59:R60)</f>
        <v>0</v>
      </c>
      <c r="S58" s="1398">
        <f t="shared" si="38"/>
        <v>0</v>
      </c>
      <c r="T58" s="1398">
        <f t="shared" si="38"/>
        <v>0</v>
      </c>
    </row>
    <row r="59" spans="1:20" s="1401" customFormat="1" ht="12">
      <c r="A59" s="1395" t="s">
        <v>106</v>
      </c>
      <c r="B59" s="1458" t="s">
        <v>551</v>
      </c>
      <c r="C59" s="1397">
        <f>+D59+H59</f>
        <v>441</v>
      </c>
      <c r="D59" s="1398">
        <f>SUM(E59:G59)</f>
        <v>288</v>
      </c>
      <c r="E59" s="1398">
        <v>288</v>
      </c>
      <c r="F59" s="1398"/>
      <c r="G59" s="1398"/>
      <c r="H59" s="1397">
        <f>+I59+J59+K59+L59+M59-N59-O59</f>
        <v>153</v>
      </c>
      <c r="I59" s="1399"/>
      <c r="J59" s="1399">
        <v>95.5</v>
      </c>
      <c r="K59" s="1399"/>
      <c r="L59" s="1399"/>
      <c r="M59" s="1399">
        <f>14.5+43</f>
        <v>57.5</v>
      </c>
      <c r="N59" s="1399"/>
      <c r="O59" s="1399"/>
      <c r="P59" s="1397">
        <v>441</v>
      </c>
      <c r="Q59" s="1397"/>
      <c r="R59" s="1397">
        <f>+C59-P59-Q59</f>
        <v>0</v>
      </c>
      <c r="S59" s="1397">
        <f>+R59</f>
        <v>0</v>
      </c>
      <c r="T59" s="1397"/>
    </row>
    <row r="60" spans="1:20" s="1401" customFormat="1" ht="12">
      <c r="A60" s="1395" t="s">
        <v>106</v>
      </c>
      <c r="B60" s="1458" t="s">
        <v>560</v>
      </c>
      <c r="C60" s="1397">
        <f>+D60+H60</f>
        <v>19</v>
      </c>
      <c r="D60" s="1398">
        <f>SUM(E60:G60)</f>
        <v>12</v>
      </c>
      <c r="E60" s="1398">
        <v>12</v>
      </c>
      <c r="F60" s="1398"/>
      <c r="G60" s="1398"/>
      <c r="H60" s="1397">
        <f t="shared" si="8"/>
        <v>7</v>
      </c>
      <c r="I60" s="1399"/>
      <c r="J60" s="1399">
        <v>4.5</v>
      </c>
      <c r="K60" s="1399"/>
      <c r="L60" s="1399"/>
      <c r="M60" s="1399">
        <f>0.5+2</f>
        <v>2.5</v>
      </c>
      <c r="N60" s="1399"/>
      <c r="O60" s="1399"/>
      <c r="P60" s="1397">
        <v>19</v>
      </c>
      <c r="Q60" s="1397"/>
      <c r="R60" s="1397">
        <f>+C60-P60-Q60</f>
        <v>0</v>
      </c>
      <c r="S60" s="1397">
        <f>+R60</f>
        <v>0</v>
      </c>
      <c r="T60" s="1397"/>
    </row>
    <row r="61" spans="1:20" s="1401" customFormat="1" ht="60">
      <c r="A61" s="1455" t="s">
        <v>235</v>
      </c>
      <c r="B61" s="1464" t="s">
        <v>1214</v>
      </c>
      <c r="C61" s="1398">
        <f t="shared" ref="C61:G61" si="39">SUM(C62:C63)</f>
        <v>15</v>
      </c>
      <c r="D61" s="1398">
        <f t="shared" si="39"/>
        <v>0</v>
      </c>
      <c r="E61" s="1398">
        <f t="shared" si="39"/>
        <v>0</v>
      </c>
      <c r="F61" s="1398">
        <f t="shared" si="39"/>
        <v>0</v>
      </c>
      <c r="G61" s="1398">
        <f t="shared" si="39"/>
        <v>0</v>
      </c>
      <c r="H61" s="1397">
        <f t="shared" ref="H61:H63" si="40">+I61+J61+K61+L61+M61-N61-O61</f>
        <v>15</v>
      </c>
      <c r="I61" s="1398">
        <f t="shared" ref="I61:T61" si="41">SUM(I62:I63)</f>
        <v>0</v>
      </c>
      <c r="J61" s="1398">
        <f t="shared" si="41"/>
        <v>15</v>
      </c>
      <c r="K61" s="1398">
        <f t="shared" si="41"/>
        <v>0</v>
      </c>
      <c r="L61" s="1398">
        <f t="shared" si="41"/>
        <v>0</v>
      </c>
      <c r="M61" s="1398">
        <f t="shared" si="41"/>
        <v>0</v>
      </c>
      <c r="N61" s="1398">
        <f t="shared" si="41"/>
        <v>0</v>
      </c>
      <c r="O61" s="1398">
        <f t="shared" si="41"/>
        <v>0</v>
      </c>
      <c r="P61" s="1398">
        <f t="shared" si="41"/>
        <v>15</v>
      </c>
      <c r="Q61" s="1398">
        <f t="shared" si="41"/>
        <v>0</v>
      </c>
      <c r="R61" s="1398">
        <f t="shared" si="41"/>
        <v>0</v>
      </c>
      <c r="S61" s="1398">
        <f t="shared" si="41"/>
        <v>0</v>
      </c>
      <c r="T61" s="1398">
        <f t="shared" si="41"/>
        <v>0</v>
      </c>
    </row>
    <row r="62" spans="1:20" s="1401" customFormat="1" ht="12">
      <c r="A62" s="1395" t="s">
        <v>106</v>
      </c>
      <c r="B62" s="1458" t="s">
        <v>551</v>
      </c>
      <c r="C62" s="1397">
        <f>+D62+H62</f>
        <v>14.5</v>
      </c>
      <c r="D62" s="1398">
        <f>SUM(E62:G62)</f>
        <v>0</v>
      </c>
      <c r="E62" s="1398"/>
      <c r="F62" s="1398"/>
      <c r="G62" s="1398"/>
      <c r="H62" s="1397">
        <f t="shared" si="40"/>
        <v>14.5</v>
      </c>
      <c r="I62" s="1399"/>
      <c r="J62" s="1399">
        <v>14.5</v>
      </c>
      <c r="K62" s="1399"/>
      <c r="L62" s="1399"/>
      <c r="M62" s="1399"/>
      <c r="N62" s="1399"/>
      <c r="O62" s="1399"/>
      <c r="P62" s="1397">
        <v>14.5</v>
      </c>
      <c r="Q62" s="1397"/>
      <c r="R62" s="1397">
        <f>+C62-P62-Q62</f>
        <v>0</v>
      </c>
      <c r="S62" s="1397">
        <f>+R62</f>
        <v>0</v>
      </c>
      <c r="T62" s="1397"/>
    </row>
    <row r="63" spans="1:20" s="1401" customFormat="1" ht="12">
      <c r="A63" s="1395" t="s">
        <v>106</v>
      </c>
      <c r="B63" s="1458" t="s">
        <v>560</v>
      </c>
      <c r="C63" s="1397">
        <f>+D63+H63</f>
        <v>0.5</v>
      </c>
      <c r="D63" s="1398">
        <f>SUM(E63:G63)</f>
        <v>0</v>
      </c>
      <c r="E63" s="1398"/>
      <c r="F63" s="1398"/>
      <c r="G63" s="1398"/>
      <c r="H63" s="1397">
        <f t="shared" si="40"/>
        <v>0.5</v>
      </c>
      <c r="I63" s="1399"/>
      <c r="J63" s="1399">
        <v>0.5</v>
      </c>
      <c r="K63" s="1399"/>
      <c r="L63" s="1399"/>
      <c r="M63" s="1399"/>
      <c r="N63" s="1399"/>
      <c r="O63" s="1399"/>
      <c r="P63" s="1397">
        <v>0.5</v>
      </c>
      <c r="Q63" s="1397"/>
      <c r="R63" s="1397">
        <f>+C63-P63-Q63</f>
        <v>0</v>
      </c>
      <c r="S63" s="1397">
        <f>+R63</f>
        <v>0</v>
      </c>
      <c r="T63" s="1397"/>
    </row>
    <row r="64" spans="1:20" s="1401" customFormat="1" ht="84">
      <c r="A64" s="1455" t="s">
        <v>49</v>
      </c>
      <c r="B64" s="1463" t="s">
        <v>557</v>
      </c>
      <c r="C64" s="1397">
        <f t="shared" ref="C64:R64" si="42">+C65+C66</f>
        <v>11</v>
      </c>
      <c r="D64" s="1397"/>
      <c r="E64" s="1397"/>
      <c r="F64" s="1397">
        <f t="shared" si="42"/>
        <v>0</v>
      </c>
      <c r="G64" s="1397">
        <f t="shared" si="42"/>
        <v>0</v>
      </c>
      <c r="H64" s="1397">
        <f t="shared" si="42"/>
        <v>11</v>
      </c>
      <c r="I64" s="1397">
        <f t="shared" si="42"/>
        <v>0</v>
      </c>
      <c r="J64" s="1397">
        <f t="shared" si="42"/>
        <v>26</v>
      </c>
      <c r="K64" s="1397">
        <f t="shared" si="42"/>
        <v>0</v>
      </c>
      <c r="L64" s="1397">
        <f t="shared" si="42"/>
        <v>0</v>
      </c>
      <c r="M64" s="1397">
        <f t="shared" si="42"/>
        <v>0</v>
      </c>
      <c r="N64" s="1397">
        <f t="shared" si="42"/>
        <v>15</v>
      </c>
      <c r="O64" s="1397">
        <f t="shared" si="42"/>
        <v>0</v>
      </c>
      <c r="P64" s="1397">
        <f t="shared" si="42"/>
        <v>11</v>
      </c>
      <c r="Q64" s="1397">
        <f t="shared" si="42"/>
        <v>0</v>
      </c>
      <c r="R64" s="1397">
        <f t="shared" si="42"/>
        <v>0</v>
      </c>
      <c r="S64" s="1397">
        <f>+S65+S66</f>
        <v>0</v>
      </c>
      <c r="T64" s="1397">
        <f>SUM(T65:T66)</f>
        <v>0</v>
      </c>
    </row>
    <row r="65" spans="1:20" s="1401" customFormat="1" ht="12">
      <c r="A65" s="1395" t="s">
        <v>106</v>
      </c>
      <c r="B65" s="1458" t="s">
        <v>551</v>
      </c>
      <c r="C65" s="1397">
        <f>+C68+C71</f>
        <v>10.5</v>
      </c>
      <c r="D65" s="1397"/>
      <c r="E65" s="1397"/>
      <c r="F65" s="1397">
        <f t="shared" ref="F65:S66" si="43">+F68+F71</f>
        <v>0</v>
      </c>
      <c r="G65" s="1397">
        <f t="shared" si="43"/>
        <v>0</v>
      </c>
      <c r="H65" s="1397">
        <f>+H68+H71</f>
        <v>10.5</v>
      </c>
      <c r="I65" s="1397">
        <f t="shared" si="43"/>
        <v>0</v>
      </c>
      <c r="J65" s="1397">
        <v>25</v>
      </c>
      <c r="K65" s="1397">
        <f t="shared" si="43"/>
        <v>0</v>
      </c>
      <c r="L65" s="1397">
        <f t="shared" si="43"/>
        <v>0</v>
      </c>
      <c r="M65" s="1397">
        <f t="shared" si="43"/>
        <v>0</v>
      </c>
      <c r="N65" s="1397">
        <v>14.5</v>
      </c>
      <c r="O65" s="1397">
        <f t="shared" si="43"/>
        <v>0</v>
      </c>
      <c r="P65" s="1397">
        <v>10.5</v>
      </c>
      <c r="Q65" s="1397">
        <f t="shared" si="43"/>
        <v>0</v>
      </c>
      <c r="R65" s="1397">
        <f t="shared" si="43"/>
        <v>0</v>
      </c>
      <c r="S65" s="1397">
        <f t="shared" si="43"/>
        <v>0</v>
      </c>
      <c r="T65" s="1397"/>
    </row>
    <row r="66" spans="1:20" s="1401" customFormat="1" ht="12">
      <c r="A66" s="1395" t="s">
        <v>106</v>
      </c>
      <c r="B66" s="1458" t="s">
        <v>560</v>
      </c>
      <c r="C66" s="1397">
        <f>+C69+C72</f>
        <v>0.5</v>
      </c>
      <c r="D66" s="1397"/>
      <c r="E66" s="1397"/>
      <c r="F66" s="1397">
        <f t="shared" si="43"/>
        <v>0</v>
      </c>
      <c r="G66" s="1397">
        <f t="shared" si="43"/>
        <v>0</v>
      </c>
      <c r="H66" s="1397">
        <f t="shared" si="43"/>
        <v>0.5</v>
      </c>
      <c r="I66" s="1397">
        <f t="shared" si="43"/>
        <v>0</v>
      </c>
      <c r="J66" s="1397">
        <v>1</v>
      </c>
      <c r="K66" s="1397">
        <f t="shared" si="43"/>
        <v>0</v>
      </c>
      <c r="L66" s="1397">
        <f t="shared" si="43"/>
        <v>0</v>
      </c>
      <c r="M66" s="1397">
        <f t="shared" si="43"/>
        <v>0</v>
      </c>
      <c r="N66" s="1397">
        <v>0.5</v>
      </c>
      <c r="O66" s="1397">
        <f t="shared" si="43"/>
        <v>0</v>
      </c>
      <c r="P66" s="1397">
        <f t="shared" si="43"/>
        <v>0.5</v>
      </c>
      <c r="Q66" s="1397">
        <f t="shared" si="43"/>
        <v>0</v>
      </c>
      <c r="R66" s="1397">
        <f t="shared" si="43"/>
        <v>0</v>
      </c>
      <c r="S66" s="1397">
        <f t="shared" si="43"/>
        <v>0</v>
      </c>
      <c r="T66" s="1397"/>
    </row>
    <row r="67" spans="1:20" s="1401" customFormat="1" ht="72">
      <c r="A67" s="1395" t="s">
        <v>60</v>
      </c>
      <c r="B67" s="1463" t="s">
        <v>1154</v>
      </c>
      <c r="C67" s="1397">
        <f t="shared" ref="C67:S67" si="44">+C68+C69</f>
        <v>11</v>
      </c>
      <c r="D67" s="1397"/>
      <c r="E67" s="1397"/>
      <c r="F67" s="1397">
        <f t="shared" si="44"/>
        <v>0</v>
      </c>
      <c r="G67" s="1397">
        <f t="shared" si="44"/>
        <v>0</v>
      </c>
      <c r="H67" s="1397">
        <f t="shared" si="44"/>
        <v>11</v>
      </c>
      <c r="I67" s="1397">
        <f t="shared" si="44"/>
        <v>0</v>
      </c>
      <c r="J67" s="1397">
        <f t="shared" si="44"/>
        <v>26</v>
      </c>
      <c r="K67" s="1397">
        <f t="shared" si="44"/>
        <v>0</v>
      </c>
      <c r="L67" s="1397">
        <f t="shared" si="44"/>
        <v>0</v>
      </c>
      <c r="M67" s="1397">
        <f t="shared" si="44"/>
        <v>0</v>
      </c>
      <c r="N67" s="1397">
        <f t="shared" si="44"/>
        <v>15</v>
      </c>
      <c r="O67" s="1397">
        <f t="shared" si="44"/>
        <v>0</v>
      </c>
      <c r="P67" s="1397">
        <f t="shared" si="44"/>
        <v>11</v>
      </c>
      <c r="Q67" s="1397">
        <f t="shared" si="44"/>
        <v>0</v>
      </c>
      <c r="R67" s="1397">
        <f t="shared" si="44"/>
        <v>0</v>
      </c>
      <c r="S67" s="1397">
        <f t="shared" si="44"/>
        <v>0</v>
      </c>
      <c r="T67" s="1397">
        <f>SUM(T68:T69)</f>
        <v>0</v>
      </c>
    </row>
    <row r="68" spans="1:20" s="1401" customFormat="1" ht="12">
      <c r="A68" s="1395" t="s">
        <v>106</v>
      </c>
      <c r="B68" s="1458" t="s">
        <v>551</v>
      </c>
      <c r="C68" s="1397">
        <f>+D68+H68</f>
        <v>10.5</v>
      </c>
      <c r="D68" s="1398"/>
      <c r="E68" s="1398"/>
      <c r="F68" s="1398"/>
      <c r="G68" s="1398"/>
      <c r="H68" s="1397">
        <f>+I68+J68+K68+L68+M68-N68-O68</f>
        <v>10.5</v>
      </c>
      <c r="I68" s="1399"/>
      <c r="J68" s="1397">
        <v>25</v>
      </c>
      <c r="K68" s="1399"/>
      <c r="L68" s="1399"/>
      <c r="M68" s="1399"/>
      <c r="N68" s="1399">
        <v>14.5</v>
      </c>
      <c r="O68" s="1399"/>
      <c r="P68" s="1397">
        <v>10.5</v>
      </c>
      <c r="Q68" s="1397"/>
      <c r="R68" s="1397">
        <f>+C68-P68-Q68</f>
        <v>0</v>
      </c>
      <c r="S68" s="1397">
        <f>+R68</f>
        <v>0</v>
      </c>
      <c r="T68" s="1397"/>
    </row>
    <row r="69" spans="1:20" s="1401" customFormat="1" ht="12">
      <c r="A69" s="1395" t="s">
        <v>106</v>
      </c>
      <c r="B69" s="1458" t="s">
        <v>560</v>
      </c>
      <c r="C69" s="1397">
        <f>+D69+H69</f>
        <v>0.5</v>
      </c>
      <c r="D69" s="1398"/>
      <c r="E69" s="1398"/>
      <c r="F69" s="1398"/>
      <c r="G69" s="1398"/>
      <c r="H69" s="1397">
        <f>+I69+J69+K69+L69+M69-N69-O69</f>
        <v>0.5</v>
      </c>
      <c r="I69" s="1399"/>
      <c r="J69" s="1397">
        <v>1</v>
      </c>
      <c r="K69" s="1399"/>
      <c r="L69" s="1399"/>
      <c r="M69" s="1399"/>
      <c r="N69" s="1399">
        <v>0.5</v>
      </c>
      <c r="O69" s="1399"/>
      <c r="P69" s="1397">
        <v>0.5</v>
      </c>
      <c r="Q69" s="1397"/>
      <c r="R69" s="1397">
        <f>+C69-P69-Q69</f>
        <v>0</v>
      </c>
      <c r="S69" s="1397">
        <f>+R69</f>
        <v>0</v>
      </c>
      <c r="T69" s="1397"/>
    </row>
    <row r="70" spans="1:20" s="1401" customFormat="1" ht="48">
      <c r="A70" s="1395" t="s">
        <v>60</v>
      </c>
      <c r="B70" s="1463" t="s">
        <v>1155</v>
      </c>
      <c r="C70" s="1397">
        <f t="shared" ref="C70:S70" si="45">+C71+C72</f>
        <v>0</v>
      </c>
      <c r="D70" s="1397"/>
      <c r="E70" s="1397"/>
      <c r="F70" s="1397">
        <f t="shared" si="45"/>
        <v>0</v>
      </c>
      <c r="G70" s="1397">
        <f t="shared" si="45"/>
        <v>0</v>
      </c>
      <c r="H70" s="1397">
        <f t="shared" si="45"/>
        <v>0</v>
      </c>
      <c r="I70" s="1397">
        <f t="shared" si="45"/>
        <v>0</v>
      </c>
      <c r="J70" s="1397">
        <f t="shared" si="45"/>
        <v>0</v>
      </c>
      <c r="K70" s="1397">
        <f t="shared" si="45"/>
        <v>0</v>
      </c>
      <c r="L70" s="1397">
        <f t="shared" si="45"/>
        <v>0</v>
      </c>
      <c r="M70" s="1397">
        <f t="shared" si="45"/>
        <v>0</v>
      </c>
      <c r="N70" s="1397">
        <f t="shared" si="45"/>
        <v>0</v>
      </c>
      <c r="O70" s="1397">
        <f t="shared" si="45"/>
        <v>0</v>
      </c>
      <c r="P70" s="1397">
        <f t="shared" si="45"/>
        <v>0</v>
      </c>
      <c r="Q70" s="1397">
        <f t="shared" si="45"/>
        <v>0</v>
      </c>
      <c r="R70" s="1397">
        <f t="shared" si="45"/>
        <v>0</v>
      </c>
      <c r="S70" s="1397">
        <f t="shared" si="45"/>
        <v>0</v>
      </c>
      <c r="T70" s="1397">
        <f>SUM(T71:T72)</f>
        <v>0</v>
      </c>
    </row>
    <row r="71" spans="1:20" s="1401" customFormat="1" ht="12">
      <c r="A71" s="1395" t="s">
        <v>106</v>
      </c>
      <c r="B71" s="1458" t="s">
        <v>551</v>
      </c>
      <c r="C71" s="1397">
        <f>+D71+H71</f>
        <v>0</v>
      </c>
      <c r="D71" s="1398"/>
      <c r="E71" s="1398"/>
      <c r="F71" s="1398"/>
      <c r="G71" s="1398"/>
      <c r="H71" s="1397">
        <f>+I71+J71+K71+L71+M71-N71-O71</f>
        <v>0</v>
      </c>
      <c r="I71" s="1399"/>
      <c r="J71" s="1399"/>
      <c r="K71" s="1399"/>
      <c r="L71" s="1399"/>
      <c r="M71" s="1399"/>
      <c r="N71" s="1399">
        <f>+J71</f>
        <v>0</v>
      </c>
      <c r="O71" s="1399"/>
      <c r="P71" s="1397"/>
      <c r="Q71" s="1397"/>
      <c r="R71" s="1397">
        <f>+C71-P71-Q71</f>
        <v>0</v>
      </c>
      <c r="S71" s="1397">
        <f>+R71</f>
        <v>0</v>
      </c>
      <c r="T71" s="1397"/>
    </row>
    <row r="72" spans="1:20" s="1401" customFormat="1" ht="12">
      <c r="A72" s="1395" t="s">
        <v>106</v>
      </c>
      <c r="B72" s="1458" t="s">
        <v>560</v>
      </c>
      <c r="C72" s="1397">
        <f>+D72+H72</f>
        <v>0</v>
      </c>
      <c r="D72" s="1398"/>
      <c r="E72" s="1398"/>
      <c r="F72" s="1398"/>
      <c r="G72" s="1398"/>
      <c r="H72" s="1397">
        <f>+I72+J72+K72+L72+M72-N72-O72</f>
        <v>0</v>
      </c>
      <c r="I72" s="1399"/>
      <c r="J72" s="1399"/>
      <c r="K72" s="1399"/>
      <c r="L72" s="1399"/>
      <c r="M72" s="1399"/>
      <c r="N72" s="1399">
        <f>+J72</f>
        <v>0</v>
      </c>
      <c r="O72" s="1399"/>
      <c r="P72" s="1397"/>
      <c r="Q72" s="1397"/>
      <c r="R72" s="1397">
        <f>+C72-P72-Q72</f>
        <v>0</v>
      </c>
      <c r="S72" s="1397">
        <f>+R72</f>
        <v>0</v>
      </c>
      <c r="T72" s="1397"/>
    </row>
    <row r="73" spans="1:20" s="1389" customFormat="1" ht="24">
      <c r="A73" s="1455" t="s">
        <v>62</v>
      </c>
      <c r="B73" s="1456" t="s">
        <v>558</v>
      </c>
      <c r="C73" s="1390">
        <f>+C89+C74</f>
        <v>14962.635173000002</v>
      </c>
      <c r="D73" s="1390">
        <f>+D89+D74</f>
        <v>4744.6351730000006</v>
      </c>
      <c r="E73" s="1390">
        <f t="shared" ref="E73:Q73" si="46">+E89+E74</f>
        <v>4744.6351730000006</v>
      </c>
      <c r="F73" s="1390">
        <f t="shared" si="46"/>
        <v>0</v>
      </c>
      <c r="G73" s="1390">
        <f t="shared" si="46"/>
        <v>0</v>
      </c>
      <c r="H73" s="1390">
        <f t="shared" si="46"/>
        <v>10218</v>
      </c>
      <c r="I73" s="1390">
        <f t="shared" si="46"/>
        <v>0</v>
      </c>
      <c r="J73" s="1390">
        <f t="shared" si="46"/>
        <v>10218</v>
      </c>
      <c r="K73" s="1390">
        <f t="shared" si="46"/>
        <v>0</v>
      </c>
      <c r="L73" s="1390">
        <f t="shared" si="46"/>
        <v>0</v>
      </c>
      <c r="M73" s="1390">
        <f t="shared" si="46"/>
        <v>0</v>
      </c>
      <c r="N73" s="1390">
        <f t="shared" si="46"/>
        <v>0</v>
      </c>
      <c r="O73" s="1390">
        <f t="shared" si="46"/>
        <v>0</v>
      </c>
      <c r="P73" s="1390">
        <f>+P89+P74</f>
        <v>14294.701547000001</v>
      </c>
      <c r="Q73" s="1390">
        <f t="shared" si="46"/>
        <v>0.30099999999999999</v>
      </c>
      <c r="R73" s="1390">
        <f>+R89+R74</f>
        <v>667.6326260000003</v>
      </c>
      <c r="S73" s="1390">
        <f>+S89+S74</f>
        <v>667.6326260000003</v>
      </c>
      <c r="T73" s="1390">
        <f>+T89+T74</f>
        <v>0</v>
      </c>
    </row>
    <row r="74" spans="1:20" s="1389" customFormat="1" ht="12">
      <c r="A74" s="1455">
        <v>1</v>
      </c>
      <c r="B74" s="1457" t="s">
        <v>59</v>
      </c>
      <c r="C74" s="1441">
        <f>+C75+C76</f>
        <v>7478.6061040000004</v>
      </c>
      <c r="D74" s="1441">
        <f>+D75+D76</f>
        <v>1775.6061040000002</v>
      </c>
      <c r="E74" s="1441">
        <f>+E75+E76</f>
        <v>1775.6061040000002</v>
      </c>
      <c r="F74" s="1441">
        <f>+F75+F76</f>
        <v>0</v>
      </c>
      <c r="G74" s="1441">
        <f>+G75+G76</f>
        <v>0</v>
      </c>
      <c r="H74" s="1390">
        <f t="shared" si="8"/>
        <v>5703</v>
      </c>
      <c r="I74" s="1441">
        <f t="shared" ref="I74:T74" si="47">+I75+I76</f>
        <v>0</v>
      </c>
      <c r="J74" s="1441">
        <f t="shared" si="47"/>
        <v>5703</v>
      </c>
      <c r="K74" s="1441">
        <f t="shared" si="47"/>
        <v>0</v>
      </c>
      <c r="L74" s="1441">
        <f t="shared" si="47"/>
        <v>0</v>
      </c>
      <c r="M74" s="1441">
        <f>+M75+M76</f>
        <v>0</v>
      </c>
      <c r="N74" s="1441">
        <f>+N75+N76</f>
        <v>0</v>
      </c>
      <c r="O74" s="1441">
        <f>+O75+O76</f>
        <v>0</v>
      </c>
      <c r="P74" s="1441">
        <f>+P75+P76</f>
        <v>7157.0179039999994</v>
      </c>
      <c r="Q74" s="1390">
        <f t="shared" si="47"/>
        <v>0</v>
      </c>
      <c r="R74" s="1390">
        <f t="shared" si="47"/>
        <v>321.58820000000054</v>
      </c>
      <c r="S74" s="1390">
        <f>+S75+S76</f>
        <v>321.58820000000054</v>
      </c>
      <c r="T74" s="1390">
        <f t="shared" si="47"/>
        <v>0</v>
      </c>
    </row>
    <row r="75" spans="1:20" s="1401" customFormat="1" ht="12">
      <c r="A75" s="1395" t="s">
        <v>106</v>
      </c>
      <c r="B75" s="1458" t="s">
        <v>551</v>
      </c>
      <c r="C75" s="1398">
        <f>+C78+C87</f>
        <v>7143.0873810000003</v>
      </c>
      <c r="D75" s="1398">
        <f t="shared" ref="D75:S76" si="48">+D78+D87</f>
        <v>1718.0873810000003</v>
      </c>
      <c r="E75" s="1398">
        <f t="shared" si="48"/>
        <v>1718.0873810000003</v>
      </c>
      <c r="F75" s="1398">
        <f t="shared" si="48"/>
        <v>0</v>
      </c>
      <c r="G75" s="1398">
        <f t="shared" si="48"/>
        <v>0</v>
      </c>
      <c r="H75" s="1398">
        <f t="shared" si="48"/>
        <v>5425</v>
      </c>
      <c r="I75" s="1398">
        <f t="shared" si="48"/>
        <v>0</v>
      </c>
      <c r="J75" s="1398">
        <f t="shared" si="48"/>
        <v>5425</v>
      </c>
      <c r="K75" s="1398">
        <f t="shared" si="48"/>
        <v>0</v>
      </c>
      <c r="L75" s="1398">
        <f t="shared" si="48"/>
        <v>0</v>
      </c>
      <c r="M75" s="1398">
        <f t="shared" si="48"/>
        <v>0</v>
      </c>
      <c r="N75" s="1398">
        <f t="shared" si="48"/>
        <v>0</v>
      </c>
      <c r="O75" s="1398">
        <f t="shared" si="48"/>
        <v>0</v>
      </c>
      <c r="P75" s="1398">
        <f>+P78+P87</f>
        <v>6833.6891809999997</v>
      </c>
      <c r="Q75" s="1398">
        <f t="shared" si="48"/>
        <v>0</v>
      </c>
      <c r="R75" s="1398">
        <f t="shared" si="48"/>
        <v>309.39820000000054</v>
      </c>
      <c r="S75" s="1398">
        <f t="shared" si="48"/>
        <v>309.39820000000054</v>
      </c>
      <c r="T75" s="1398">
        <f>+T78+T81+T84+T87</f>
        <v>0</v>
      </c>
    </row>
    <row r="76" spans="1:20" s="1401" customFormat="1" ht="12">
      <c r="A76" s="1395" t="s">
        <v>106</v>
      </c>
      <c r="B76" s="1458" t="s">
        <v>560</v>
      </c>
      <c r="C76" s="1398">
        <f>+C79+C88</f>
        <v>335.51872300000002</v>
      </c>
      <c r="D76" s="1398">
        <f t="shared" si="48"/>
        <v>57.518722999999994</v>
      </c>
      <c r="E76" s="1398">
        <f t="shared" si="48"/>
        <v>57.518722999999994</v>
      </c>
      <c r="F76" s="1398">
        <f t="shared" si="48"/>
        <v>0</v>
      </c>
      <c r="G76" s="1398">
        <f t="shared" si="48"/>
        <v>0</v>
      </c>
      <c r="H76" s="1398">
        <f t="shared" si="48"/>
        <v>278</v>
      </c>
      <c r="I76" s="1398">
        <f t="shared" si="48"/>
        <v>0</v>
      </c>
      <c r="J76" s="1398">
        <f t="shared" si="48"/>
        <v>278</v>
      </c>
      <c r="K76" s="1398">
        <f t="shared" si="48"/>
        <v>0</v>
      </c>
      <c r="L76" s="1398">
        <f t="shared" si="48"/>
        <v>0</v>
      </c>
      <c r="M76" s="1398">
        <f t="shared" si="48"/>
        <v>0</v>
      </c>
      <c r="N76" s="1398">
        <f t="shared" si="48"/>
        <v>0</v>
      </c>
      <c r="O76" s="1398">
        <f t="shared" si="48"/>
        <v>0</v>
      </c>
      <c r="P76" s="1398">
        <f>+P79+P88</f>
        <v>323.32872299999997</v>
      </c>
      <c r="Q76" s="1398">
        <f t="shared" si="48"/>
        <v>0</v>
      </c>
      <c r="R76" s="1398">
        <f t="shared" si="48"/>
        <v>12.189999999999998</v>
      </c>
      <c r="S76" s="1398">
        <f t="shared" si="48"/>
        <v>12.189999999999998</v>
      </c>
      <c r="T76" s="1398">
        <f>+T79+T82+T85+T88</f>
        <v>0</v>
      </c>
    </row>
    <row r="77" spans="1:20" s="1401" customFormat="1" ht="36">
      <c r="A77" s="1395" t="s">
        <v>298</v>
      </c>
      <c r="B77" s="1396" t="s">
        <v>624</v>
      </c>
      <c r="C77" s="1398">
        <f>SUM(C78:C79)</f>
        <v>1188</v>
      </c>
      <c r="D77" s="1398">
        <f t="shared" ref="D77:T77" si="49">SUM(D78:D79)</f>
        <v>176</v>
      </c>
      <c r="E77" s="1398">
        <f t="shared" si="49"/>
        <v>176</v>
      </c>
      <c r="F77" s="1398">
        <f t="shared" si="49"/>
        <v>0</v>
      </c>
      <c r="G77" s="1398">
        <f t="shared" si="49"/>
        <v>0</v>
      </c>
      <c r="H77" s="1397">
        <f t="shared" si="8"/>
        <v>1012</v>
      </c>
      <c r="I77" s="1398">
        <f t="shared" si="49"/>
        <v>0</v>
      </c>
      <c r="J77" s="1398">
        <f t="shared" si="49"/>
        <v>1012</v>
      </c>
      <c r="K77" s="1398">
        <f t="shared" si="49"/>
        <v>0</v>
      </c>
      <c r="L77" s="1398">
        <f t="shared" si="49"/>
        <v>0</v>
      </c>
      <c r="M77" s="1398">
        <f t="shared" si="49"/>
        <v>0</v>
      </c>
      <c r="N77" s="1398">
        <f t="shared" si="49"/>
        <v>0</v>
      </c>
      <c r="O77" s="1398">
        <f t="shared" si="49"/>
        <v>0</v>
      </c>
      <c r="P77" s="1397">
        <f t="shared" si="49"/>
        <v>1056</v>
      </c>
      <c r="Q77" s="1398">
        <f t="shared" si="49"/>
        <v>0</v>
      </c>
      <c r="R77" s="1398">
        <f t="shared" si="49"/>
        <v>132</v>
      </c>
      <c r="S77" s="1398">
        <f t="shared" si="49"/>
        <v>132</v>
      </c>
      <c r="T77" s="1398">
        <f t="shared" si="49"/>
        <v>0</v>
      </c>
    </row>
    <row r="78" spans="1:20" s="1401" customFormat="1" ht="12">
      <c r="A78" s="1395" t="s">
        <v>106</v>
      </c>
      <c r="B78" s="1458" t="s">
        <v>551</v>
      </c>
      <c r="C78" s="1397">
        <f>+C81+C84</f>
        <v>1080</v>
      </c>
      <c r="D78" s="1397">
        <f t="shared" ref="D78:T79" si="50">+D81+D84</f>
        <v>160</v>
      </c>
      <c r="E78" s="1397">
        <f t="shared" si="50"/>
        <v>160</v>
      </c>
      <c r="F78" s="1397">
        <f t="shared" si="50"/>
        <v>0</v>
      </c>
      <c r="G78" s="1397">
        <f t="shared" si="50"/>
        <v>0</v>
      </c>
      <c r="H78" s="1397">
        <f t="shared" si="50"/>
        <v>920</v>
      </c>
      <c r="I78" s="1397">
        <f t="shared" si="50"/>
        <v>0</v>
      </c>
      <c r="J78" s="1397">
        <f t="shared" si="50"/>
        <v>920</v>
      </c>
      <c r="K78" s="1397">
        <f t="shared" si="50"/>
        <v>0</v>
      </c>
      <c r="L78" s="1397">
        <f t="shared" si="50"/>
        <v>0</v>
      </c>
      <c r="M78" s="1397">
        <f t="shared" si="50"/>
        <v>0</v>
      </c>
      <c r="N78" s="1397">
        <f t="shared" si="50"/>
        <v>0</v>
      </c>
      <c r="O78" s="1397">
        <f t="shared" si="50"/>
        <v>0</v>
      </c>
      <c r="P78" s="1397">
        <f t="shared" si="50"/>
        <v>960</v>
      </c>
      <c r="Q78" s="1397">
        <f t="shared" si="50"/>
        <v>0</v>
      </c>
      <c r="R78" s="1397">
        <f t="shared" si="50"/>
        <v>120</v>
      </c>
      <c r="S78" s="1397">
        <f t="shared" si="50"/>
        <v>120</v>
      </c>
      <c r="T78" s="1397">
        <f t="shared" si="50"/>
        <v>0</v>
      </c>
    </row>
    <row r="79" spans="1:20" s="1401" customFormat="1" ht="12">
      <c r="A79" s="1395" t="s">
        <v>106</v>
      </c>
      <c r="B79" s="1458" t="s">
        <v>560</v>
      </c>
      <c r="C79" s="1397">
        <f>+C82+C85</f>
        <v>108</v>
      </c>
      <c r="D79" s="1397">
        <f t="shared" si="50"/>
        <v>16</v>
      </c>
      <c r="E79" s="1397">
        <f t="shared" si="50"/>
        <v>16</v>
      </c>
      <c r="F79" s="1397">
        <f t="shared" si="50"/>
        <v>0</v>
      </c>
      <c r="G79" s="1397">
        <f t="shared" si="50"/>
        <v>0</v>
      </c>
      <c r="H79" s="1397">
        <f t="shared" si="50"/>
        <v>92</v>
      </c>
      <c r="I79" s="1397">
        <f t="shared" si="50"/>
        <v>0</v>
      </c>
      <c r="J79" s="1397">
        <f t="shared" si="50"/>
        <v>92</v>
      </c>
      <c r="K79" s="1397">
        <f t="shared" si="50"/>
        <v>0</v>
      </c>
      <c r="L79" s="1397">
        <f t="shared" si="50"/>
        <v>0</v>
      </c>
      <c r="M79" s="1397">
        <f t="shared" si="50"/>
        <v>0</v>
      </c>
      <c r="N79" s="1397">
        <f t="shared" si="50"/>
        <v>0</v>
      </c>
      <c r="O79" s="1397">
        <f t="shared" si="50"/>
        <v>0</v>
      </c>
      <c r="P79" s="1397">
        <f t="shared" si="50"/>
        <v>96</v>
      </c>
      <c r="Q79" s="1397">
        <f t="shared" si="50"/>
        <v>0</v>
      </c>
      <c r="R79" s="1397">
        <f t="shared" si="50"/>
        <v>12</v>
      </c>
      <c r="S79" s="1397">
        <f t="shared" si="50"/>
        <v>12</v>
      </c>
      <c r="T79" s="1397">
        <f t="shared" si="50"/>
        <v>0</v>
      </c>
    </row>
    <row r="80" spans="1:20" s="1401" customFormat="1" ht="12">
      <c r="A80" s="1395" t="s">
        <v>60</v>
      </c>
      <c r="B80" s="1396" t="s">
        <v>1156</v>
      </c>
      <c r="C80" s="1398">
        <f>SUM(C81:C82)</f>
        <v>0</v>
      </c>
      <c r="D80" s="1398"/>
      <c r="E80" s="1398"/>
      <c r="F80" s="1398">
        <f>SUM(F81:F82)</f>
        <v>0</v>
      </c>
      <c r="G80" s="1398">
        <f>SUM(G81:G82)</f>
        <v>0</v>
      </c>
      <c r="H80" s="1397">
        <f t="shared" ref="H80:H85" si="51">+I80+J80+K80+L80+M80-N80-O80</f>
        <v>0</v>
      </c>
      <c r="I80" s="1398">
        <f t="shared" ref="I80:O80" si="52">SUM(I81:I82)</f>
        <v>0</v>
      </c>
      <c r="J80" s="1398">
        <f t="shared" si="52"/>
        <v>0</v>
      </c>
      <c r="K80" s="1398">
        <f t="shared" si="52"/>
        <v>0</v>
      </c>
      <c r="L80" s="1398">
        <f t="shared" si="52"/>
        <v>0</v>
      </c>
      <c r="M80" s="1398">
        <f t="shared" si="52"/>
        <v>0</v>
      </c>
      <c r="N80" s="1398">
        <f t="shared" si="52"/>
        <v>0</v>
      </c>
      <c r="O80" s="1398">
        <f t="shared" si="52"/>
        <v>0</v>
      </c>
      <c r="P80" s="1397"/>
      <c r="Q80" s="1398"/>
      <c r="R80" s="1398"/>
      <c r="S80" s="1398"/>
      <c r="T80" s="1398"/>
    </row>
    <row r="81" spans="1:20" s="1401" customFormat="1" ht="12">
      <c r="A81" s="1395" t="s">
        <v>106</v>
      </c>
      <c r="B81" s="1458" t="s">
        <v>551</v>
      </c>
      <c r="C81" s="1397">
        <f>+D81+H81</f>
        <v>0</v>
      </c>
      <c r="D81" s="1398"/>
      <c r="E81" s="1398"/>
      <c r="F81" s="1398"/>
      <c r="G81" s="1398"/>
      <c r="H81" s="1397">
        <f t="shared" si="51"/>
        <v>0</v>
      </c>
      <c r="I81" s="1399"/>
      <c r="J81" s="1399"/>
      <c r="K81" s="1399"/>
      <c r="L81" s="1399"/>
      <c r="M81" s="1399"/>
      <c r="N81" s="1399"/>
      <c r="O81" s="1399"/>
      <c r="P81" s="1397"/>
      <c r="Q81" s="1397"/>
      <c r="R81" s="1397"/>
      <c r="S81" s="1397"/>
      <c r="T81" s="1397"/>
    </row>
    <row r="82" spans="1:20" s="1401" customFormat="1" ht="12">
      <c r="A82" s="1395" t="s">
        <v>106</v>
      </c>
      <c r="B82" s="1458" t="s">
        <v>560</v>
      </c>
      <c r="C82" s="1397">
        <f>+D82+H82</f>
        <v>0</v>
      </c>
      <c r="D82" s="1398"/>
      <c r="E82" s="1398"/>
      <c r="F82" s="1398"/>
      <c r="G82" s="1398"/>
      <c r="H82" s="1397">
        <f t="shared" si="51"/>
        <v>0</v>
      </c>
      <c r="I82" s="1399"/>
      <c r="J82" s="1399"/>
      <c r="K82" s="1398"/>
      <c r="L82" s="1399"/>
      <c r="M82" s="1399"/>
      <c r="N82" s="1399"/>
      <c r="O82" s="1399"/>
      <c r="P82" s="1397"/>
      <c r="Q82" s="1397"/>
      <c r="R82" s="1397"/>
      <c r="S82" s="1397"/>
      <c r="T82" s="1397"/>
    </row>
    <row r="83" spans="1:20" s="1401" customFormat="1" ht="12">
      <c r="A83" s="1395" t="s">
        <v>60</v>
      </c>
      <c r="B83" s="1396" t="s">
        <v>1157</v>
      </c>
      <c r="C83" s="1398">
        <f>SUM(C84:C85)</f>
        <v>1188</v>
      </c>
      <c r="D83" s="1398">
        <f>SUM(D84:D85)</f>
        <v>176</v>
      </c>
      <c r="E83" s="1398">
        <f>SUM(E84:E85)</f>
        <v>176</v>
      </c>
      <c r="F83" s="1398">
        <f>SUM(F84:F85)</f>
        <v>0</v>
      </c>
      <c r="G83" s="1398">
        <f>SUM(G84:G85)</f>
        <v>0</v>
      </c>
      <c r="H83" s="1397">
        <f t="shared" si="51"/>
        <v>1012</v>
      </c>
      <c r="I83" s="1398">
        <f t="shared" ref="I83:T83" si="53">SUM(I84:I85)</f>
        <v>0</v>
      </c>
      <c r="J83" s="1398">
        <f t="shared" si="53"/>
        <v>1012</v>
      </c>
      <c r="K83" s="1398">
        <f t="shared" si="53"/>
        <v>0</v>
      </c>
      <c r="L83" s="1398">
        <f t="shared" si="53"/>
        <v>0</v>
      </c>
      <c r="M83" s="1398">
        <f t="shared" si="53"/>
        <v>0</v>
      </c>
      <c r="N83" s="1398">
        <f t="shared" si="53"/>
        <v>0</v>
      </c>
      <c r="O83" s="1398">
        <f t="shared" si="53"/>
        <v>0</v>
      </c>
      <c r="P83" s="1397">
        <f t="shared" si="53"/>
        <v>1056</v>
      </c>
      <c r="Q83" s="1398">
        <f t="shared" si="53"/>
        <v>0</v>
      </c>
      <c r="R83" s="1398">
        <f t="shared" si="53"/>
        <v>132</v>
      </c>
      <c r="S83" s="1398">
        <f t="shared" si="53"/>
        <v>132</v>
      </c>
      <c r="T83" s="1398">
        <f t="shared" si="53"/>
        <v>0</v>
      </c>
    </row>
    <row r="84" spans="1:20" s="1401" customFormat="1" ht="12">
      <c r="A84" s="1395" t="s">
        <v>106</v>
      </c>
      <c r="B84" s="1458" t="s">
        <v>551</v>
      </c>
      <c r="C84" s="1397">
        <f>+D84+H84</f>
        <v>1080</v>
      </c>
      <c r="D84" s="1398">
        <f>SUM(E84:G84)</f>
        <v>160</v>
      </c>
      <c r="E84" s="1398">
        <v>160</v>
      </c>
      <c r="F84" s="1398"/>
      <c r="G84" s="1398"/>
      <c r="H84" s="1397">
        <f t="shared" si="51"/>
        <v>920</v>
      </c>
      <c r="I84" s="1399"/>
      <c r="J84" s="1399">
        <v>920</v>
      </c>
      <c r="K84" s="1399"/>
      <c r="L84" s="1399"/>
      <c r="M84" s="1399"/>
      <c r="N84" s="1399"/>
      <c r="O84" s="1399"/>
      <c r="P84" s="1397">
        <v>960</v>
      </c>
      <c r="Q84" s="1397"/>
      <c r="R84" s="1397">
        <f>+C84-P84-Q84</f>
        <v>120</v>
      </c>
      <c r="S84" s="1397">
        <f>+R84</f>
        <v>120</v>
      </c>
      <c r="T84" s="1397"/>
    </row>
    <row r="85" spans="1:20" s="1401" customFormat="1" ht="12">
      <c r="A85" s="1395" t="s">
        <v>106</v>
      </c>
      <c r="B85" s="1458" t="s">
        <v>560</v>
      </c>
      <c r="C85" s="1397">
        <f>+D85+H85</f>
        <v>108</v>
      </c>
      <c r="D85" s="1398">
        <f>SUM(E85:G85)</f>
        <v>16</v>
      </c>
      <c r="E85" s="1398">
        <v>16</v>
      </c>
      <c r="F85" s="1398"/>
      <c r="G85" s="1398"/>
      <c r="H85" s="1397">
        <f t="shared" si="51"/>
        <v>92</v>
      </c>
      <c r="I85" s="1399"/>
      <c r="J85" s="1399">
        <v>92</v>
      </c>
      <c r="K85" s="1398"/>
      <c r="L85" s="1399"/>
      <c r="M85" s="1399"/>
      <c r="N85" s="1399"/>
      <c r="O85" s="1399"/>
      <c r="P85" s="1397">
        <v>96</v>
      </c>
      <c r="Q85" s="1397"/>
      <c r="R85" s="1397">
        <f>+C85-P85-Q85</f>
        <v>12</v>
      </c>
      <c r="S85" s="1397">
        <f>+R85</f>
        <v>12</v>
      </c>
      <c r="T85" s="1397"/>
    </row>
    <row r="86" spans="1:20" s="1401" customFormat="1" ht="48">
      <c r="A86" s="1395" t="s">
        <v>225</v>
      </c>
      <c r="B86" s="1396" t="s">
        <v>559</v>
      </c>
      <c r="C86" s="1397">
        <f>SUM(C87:C88)</f>
        <v>6290.6061040000004</v>
      </c>
      <c r="D86" s="1398">
        <f>SUM(D87:D88)</f>
        <v>1599.6061040000002</v>
      </c>
      <c r="E86" s="1398">
        <f t="shared" ref="E86:J86" si="54">SUM(E87:E88)</f>
        <v>1599.6061040000002</v>
      </c>
      <c r="F86" s="1398">
        <f t="shared" si="54"/>
        <v>0</v>
      </c>
      <c r="G86" s="1398">
        <f t="shared" si="54"/>
        <v>0</v>
      </c>
      <c r="H86" s="1397">
        <f t="shared" si="8"/>
        <v>4691</v>
      </c>
      <c r="I86" s="1398">
        <f t="shared" si="54"/>
        <v>0</v>
      </c>
      <c r="J86" s="1398">
        <f t="shared" si="54"/>
        <v>4691</v>
      </c>
      <c r="K86" s="1398">
        <f>SUM(K87:K88)</f>
        <v>0</v>
      </c>
      <c r="L86" s="1398">
        <f>SUM(L87:L88)</f>
        <v>0</v>
      </c>
      <c r="M86" s="1398">
        <f>SUM(M87:M88)</f>
        <v>0</v>
      </c>
      <c r="N86" s="1398">
        <f t="shared" ref="N86:T86" si="55">SUM(N87:N88)</f>
        <v>0</v>
      </c>
      <c r="O86" s="1398">
        <f t="shared" si="55"/>
        <v>0</v>
      </c>
      <c r="P86" s="1398">
        <f t="shared" si="55"/>
        <v>6101.0179039999994</v>
      </c>
      <c r="Q86" s="1398">
        <f t="shared" si="55"/>
        <v>0</v>
      </c>
      <c r="R86" s="1398">
        <f>SUM(R87:R88)</f>
        <v>189.58820000000054</v>
      </c>
      <c r="S86" s="1398">
        <f>SUM(S87:S88)</f>
        <v>189.58820000000054</v>
      </c>
      <c r="T86" s="1398">
        <f t="shared" si="55"/>
        <v>0</v>
      </c>
    </row>
    <row r="87" spans="1:20" s="1401" customFormat="1" ht="12">
      <c r="A87" s="1395" t="s">
        <v>106</v>
      </c>
      <c r="B87" s="1458" t="s">
        <v>551</v>
      </c>
      <c r="C87" s="1397">
        <f>+D87+H87</f>
        <v>6063.0873810000003</v>
      </c>
      <c r="D87" s="1398">
        <f>SUM(E87:G87)</f>
        <v>1558.0873810000003</v>
      </c>
      <c r="E87" s="1398">
        <v>1558.0873810000003</v>
      </c>
      <c r="F87" s="1398"/>
      <c r="G87" s="1398"/>
      <c r="H87" s="1397">
        <f t="shared" si="8"/>
        <v>4505</v>
      </c>
      <c r="I87" s="1399"/>
      <c r="J87" s="1399">
        <f>5425-J84</f>
        <v>4505</v>
      </c>
      <c r="K87" s="1399"/>
      <c r="L87" s="1399"/>
      <c r="M87" s="1399"/>
      <c r="N87" s="1399"/>
      <c r="O87" s="1399"/>
      <c r="P87" s="1397">
        <v>5873.6891809999997</v>
      </c>
      <c r="Q87" s="1397"/>
      <c r="R87" s="1397">
        <f>+C87-P87-Q87</f>
        <v>189.39820000000054</v>
      </c>
      <c r="S87" s="1397">
        <f>+R87</f>
        <v>189.39820000000054</v>
      </c>
      <c r="T87" s="1397"/>
    </row>
    <row r="88" spans="1:20" s="1401" customFormat="1" ht="12">
      <c r="A88" s="1395" t="s">
        <v>106</v>
      </c>
      <c r="B88" s="1458" t="s">
        <v>560</v>
      </c>
      <c r="C88" s="1397">
        <f>+D88+H88</f>
        <v>227.51872299999999</v>
      </c>
      <c r="D88" s="1398">
        <f>SUM(E88:G88)</f>
        <v>41.518722999999994</v>
      </c>
      <c r="E88" s="1398">
        <v>41.518722999999994</v>
      </c>
      <c r="F88" s="1398"/>
      <c r="G88" s="1398"/>
      <c r="H88" s="1397">
        <f t="shared" si="8"/>
        <v>186</v>
      </c>
      <c r="I88" s="1399"/>
      <c r="J88" s="1399">
        <f>278-92</f>
        <v>186</v>
      </c>
      <c r="K88" s="1399"/>
      <c r="L88" s="1399"/>
      <c r="M88" s="1399"/>
      <c r="N88" s="1399"/>
      <c r="O88" s="1399"/>
      <c r="P88" s="1397">
        <v>227.328723</v>
      </c>
      <c r="Q88" s="1397"/>
      <c r="R88" s="1397">
        <f>+C88-P88-Q88</f>
        <v>0.18999999999999773</v>
      </c>
      <c r="S88" s="1397">
        <f>+R88</f>
        <v>0.18999999999999773</v>
      </c>
      <c r="T88" s="1397"/>
    </row>
    <row r="89" spans="1:20" s="1389" customFormat="1" ht="12">
      <c r="A89" s="1388">
        <v>2</v>
      </c>
      <c r="B89" s="1461" t="s">
        <v>107</v>
      </c>
      <c r="C89" s="1390">
        <f>+C90+C91</f>
        <v>7484.0290690000011</v>
      </c>
      <c r="D89" s="1390">
        <f>+D90+D91</f>
        <v>2969.0290690000002</v>
      </c>
      <c r="E89" s="1390">
        <f>+E90+E91</f>
        <v>2969.0290690000002</v>
      </c>
      <c r="F89" s="1390">
        <f t="shared" ref="F89:S89" si="56">+F90+F91</f>
        <v>0</v>
      </c>
      <c r="G89" s="1390">
        <f t="shared" si="56"/>
        <v>0</v>
      </c>
      <c r="H89" s="1390">
        <f t="shared" si="56"/>
        <v>4515</v>
      </c>
      <c r="I89" s="1390">
        <f t="shared" si="56"/>
        <v>0</v>
      </c>
      <c r="J89" s="1390">
        <f t="shared" si="56"/>
        <v>4515</v>
      </c>
      <c r="K89" s="1390">
        <f t="shared" si="56"/>
        <v>0</v>
      </c>
      <c r="L89" s="1390">
        <f t="shared" si="56"/>
        <v>0</v>
      </c>
      <c r="M89" s="1390">
        <f t="shared" si="56"/>
        <v>0</v>
      </c>
      <c r="N89" s="1390">
        <f t="shared" si="56"/>
        <v>0</v>
      </c>
      <c r="O89" s="1390">
        <f t="shared" si="56"/>
        <v>0</v>
      </c>
      <c r="P89" s="1390">
        <f>+P90+P91</f>
        <v>7137.6836430000003</v>
      </c>
      <c r="Q89" s="1390">
        <f>+Q92+Q101+Q108+Q111+Q126+Q129+Q132+Q135+Q138</f>
        <v>0.30099999999999999</v>
      </c>
      <c r="R89" s="1390">
        <f t="shared" si="56"/>
        <v>346.0444259999997</v>
      </c>
      <c r="S89" s="1390">
        <f t="shared" si="56"/>
        <v>346.0444259999997</v>
      </c>
      <c r="T89" s="1390">
        <f>+T90+T91</f>
        <v>0</v>
      </c>
    </row>
    <row r="90" spans="1:20" s="1401" customFormat="1" ht="12">
      <c r="A90" s="1395" t="s">
        <v>106</v>
      </c>
      <c r="B90" s="1458" t="s">
        <v>551</v>
      </c>
      <c r="C90" s="1397">
        <f>+C93+C103+C106+C109+C112+C127+C133+C136+C140+C143+C146+0.1</f>
        <v>7211.1960290000006</v>
      </c>
      <c r="D90" s="1397">
        <f>+D93+D103+D106+D109+D112+D127+D133+D136+D140+D143+D146+0.1</f>
        <v>2893.1960290000002</v>
      </c>
      <c r="E90" s="1397">
        <f>+E93+E103+E106+E109+E112+E127+E133+E136+E140+E143+E146+0.1</f>
        <v>2893.1960290000002</v>
      </c>
      <c r="F90" s="1397">
        <f t="shared" ref="F90:S91" si="57">+F93+F103+F106+F109+F112+F127+F133+F136+F140+F143+F146</f>
        <v>0</v>
      </c>
      <c r="G90" s="1397">
        <f t="shared" si="57"/>
        <v>0</v>
      </c>
      <c r="H90" s="1397">
        <f t="shared" si="57"/>
        <v>4318</v>
      </c>
      <c r="I90" s="1397">
        <f t="shared" si="57"/>
        <v>0</v>
      </c>
      <c r="J90" s="1397">
        <f t="shared" si="57"/>
        <v>4318</v>
      </c>
      <c r="K90" s="1397">
        <f t="shared" si="57"/>
        <v>0</v>
      </c>
      <c r="L90" s="1397">
        <f t="shared" si="57"/>
        <v>0</v>
      </c>
      <c r="M90" s="1397">
        <f t="shared" si="57"/>
        <v>0</v>
      </c>
      <c r="N90" s="1397">
        <f t="shared" si="57"/>
        <v>0</v>
      </c>
      <c r="O90" s="1397">
        <f t="shared" si="57"/>
        <v>0</v>
      </c>
      <c r="P90" s="1397">
        <f>+P93+P103+P106+P109+P112+P127+P133+P136+P140+P143+P146</f>
        <v>6867.4516030000004</v>
      </c>
      <c r="Q90" s="1397">
        <v>0.1</v>
      </c>
      <c r="R90" s="1397">
        <f t="shared" si="57"/>
        <v>343.64442599999973</v>
      </c>
      <c r="S90" s="1397">
        <f t="shared" si="57"/>
        <v>343.64442599999973</v>
      </c>
      <c r="T90" s="1398">
        <f>+T93+T103+T106+T109+T115+T118+T121+T124+T127+T130+T133+T136+T140+T143+T146</f>
        <v>0</v>
      </c>
    </row>
    <row r="91" spans="1:20" s="1401" customFormat="1" ht="12">
      <c r="A91" s="1395" t="s">
        <v>106</v>
      </c>
      <c r="B91" s="1458" t="s">
        <v>560</v>
      </c>
      <c r="C91" s="1397">
        <f>+C94+C104+C107+C110+C113+C128+C134+C137+C141+C144+C147+0.201</f>
        <v>272.83304000000004</v>
      </c>
      <c r="D91" s="1397">
        <f>+D94+D104+D107+D110+D113+D128+D134+D137+D141+D144+D147+0.201</f>
        <v>75.833039999999997</v>
      </c>
      <c r="E91" s="1397">
        <f>+E94+E104+E107+E110+E113+E128+E134+E137+E141+E144+E147+0.201</f>
        <v>75.833039999999997</v>
      </c>
      <c r="F91" s="1397">
        <f t="shared" si="57"/>
        <v>0</v>
      </c>
      <c r="G91" s="1397">
        <f t="shared" si="57"/>
        <v>0</v>
      </c>
      <c r="H91" s="1397">
        <f t="shared" si="57"/>
        <v>196.99999999999997</v>
      </c>
      <c r="I91" s="1397">
        <f t="shared" si="57"/>
        <v>0</v>
      </c>
      <c r="J91" s="1397">
        <f t="shared" si="57"/>
        <v>196.99999999999997</v>
      </c>
      <c r="K91" s="1397">
        <f t="shared" si="57"/>
        <v>0</v>
      </c>
      <c r="L91" s="1397">
        <f t="shared" si="57"/>
        <v>0</v>
      </c>
      <c r="M91" s="1397">
        <f t="shared" si="57"/>
        <v>0</v>
      </c>
      <c r="N91" s="1397">
        <f t="shared" si="57"/>
        <v>0</v>
      </c>
      <c r="O91" s="1397">
        <f t="shared" si="57"/>
        <v>0</v>
      </c>
      <c r="P91" s="1397">
        <f>+P94+P104+P107+P110+P113+P128+P134+P137+P141+P144+P147</f>
        <v>270.23203999999998</v>
      </c>
      <c r="Q91" s="1397">
        <v>0.20100000000000001</v>
      </c>
      <c r="R91" s="1397">
        <f>+R94+R104+R107+R110+R113+R128+R134+R137+R141+R144+R147</f>
        <v>2.4000000000000004</v>
      </c>
      <c r="S91" s="1397">
        <f t="shared" si="57"/>
        <v>2.4</v>
      </c>
      <c r="T91" s="1398">
        <f>+T94+T104+T107+T110+T116+T119+T122+T125+T128+T131+T134+T137+T141+T144+T147</f>
        <v>0</v>
      </c>
    </row>
    <row r="92" spans="1:20" s="1462" customFormat="1" ht="36">
      <c r="A92" s="1465" t="s">
        <v>227</v>
      </c>
      <c r="B92" s="1466" t="s">
        <v>561</v>
      </c>
      <c r="C92" s="1425">
        <f>SUM(C93:C94)</f>
        <v>227.80159999999998</v>
      </c>
      <c r="D92" s="1425">
        <f>SUM(D93:D94)</f>
        <v>119.80159999999999</v>
      </c>
      <c r="E92" s="1425">
        <f t="shared" ref="E92:T92" si="58">SUM(E93:E94)</f>
        <v>119.80159999999999</v>
      </c>
      <c r="F92" s="1425">
        <f>SUM(F93:F94)</f>
        <v>0</v>
      </c>
      <c r="G92" s="1425">
        <f t="shared" si="58"/>
        <v>0</v>
      </c>
      <c r="H92" s="1425">
        <f t="shared" ref="H92:H169" si="59">+I92+J92+K92+L92+M92-N92-O92</f>
        <v>108</v>
      </c>
      <c r="I92" s="1425">
        <f t="shared" si="58"/>
        <v>0</v>
      </c>
      <c r="J92" s="1425">
        <f t="shared" si="58"/>
        <v>108</v>
      </c>
      <c r="K92" s="1425">
        <f t="shared" si="58"/>
        <v>0</v>
      </c>
      <c r="L92" s="1425">
        <f t="shared" si="58"/>
        <v>0</v>
      </c>
      <c r="M92" s="1425">
        <f t="shared" si="58"/>
        <v>0</v>
      </c>
      <c r="N92" s="1425">
        <f t="shared" si="58"/>
        <v>0</v>
      </c>
      <c r="O92" s="1425">
        <f t="shared" si="58"/>
        <v>0</v>
      </c>
      <c r="P92" s="1425">
        <f t="shared" si="58"/>
        <v>224.26599999999999</v>
      </c>
      <c r="Q92" s="1425">
        <f t="shared" si="58"/>
        <v>0</v>
      </c>
      <c r="R92" s="1425">
        <f t="shared" si="58"/>
        <v>3.5355999999999881</v>
      </c>
      <c r="S92" s="1425">
        <f t="shared" si="58"/>
        <v>3.5355999999999881</v>
      </c>
      <c r="T92" s="1425">
        <f t="shared" si="58"/>
        <v>0</v>
      </c>
    </row>
    <row r="93" spans="1:20" s="1401" customFormat="1" ht="12">
      <c r="A93" s="1395" t="s">
        <v>106</v>
      </c>
      <c r="B93" s="1458" t="s">
        <v>551</v>
      </c>
      <c r="C93" s="1397">
        <f>+C96+C99</f>
        <v>221.32159999999999</v>
      </c>
      <c r="D93" s="1397">
        <f t="shared" ref="D93:T94" si="60">+D96+D99</f>
        <v>119.2016</v>
      </c>
      <c r="E93" s="1397">
        <f t="shared" si="60"/>
        <v>119.2016</v>
      </c>
      <c r="F93" s="1397">
        <f t="shared" si="60"/>
        <v>0</v>
      </c>
      <c r="G93" s="1397">
        <f t="shared" si="60"/>
        <v>0</v>
      </c>
      <c r="H93" s="1397">
        <f t="shared" si="60"/>
        <v>102.12</v>
      </c>
      <c r="I93" s="1397">
        <f t="shared" si="60"/>
        <v>0</v>
      </c>
      <c r="J93" s="1397">
        <f t="shared" si="60"/>
        <v>102.12</v>
      </c>
      <c r="K93" s="1397">
        <f t="shared" si="60"/>
        <v>0</v>
      </c>
      <c r="L93" s="1397">
        <f t="shared" si="60"/>
        <v>0</v>
      </c>
      <c r="M93" s="1397">
        <f t="shared" si="60"/>
        <v>0</v>
      </c>
      <c r="N93" s="1397">
        <f t="shared" si="60"/>
        <v>0</v>
      </c>
      <c r="O93" s="1397">
        <f t="shared" si="60"/>
        <v>0</v>
      </c>
      <c r="P93" s="1397">
        <f t="shared" si="60"/>
        <v>217.786</v>
      </c>
      <c r="Q93" s="1397">
        <f t="shared" si="60"/>
        <v>0</v>
      </c>
      <c r="R93" s="1397">
        <f t="shared" si="60"/>
        <v>3.5355999999999881</v>
      </c>
      <c r="S93" s="1397">
        <f t="shared" si="60"/>
        <v>3.5355999999999881</v>
      </c>
      <c r="T93" s="1397">
        <f t="shared" si="60"/>
        <v>0</v>
      </c>
    </row>
    <row r="94" spans="1:20" s="1401" customFormat="1" ht="12">
      <c r="A94" s="1395" t="s">
        <v>106</v>
      </c>
      <c r="B94" s="1458" t="s">
        <v>560</v>
      </c>
      <c r="C94" s="1397">
        <f>+C97+C100</f>
        <v>6.4799999999999995</v>
      </c>
      <c r="D94" s="1397">
        <f t="shared" si="60"/>
        <v>0.6</v>
      </c>
      <c r="E94" s="1397">
        <f t="shared" si="60"/>
        <v>0.6</v>
      </c>
      <c r="F94" s="1397">
        <f t="shared" si="60"/>
        <v>0</v>
      </c>
      <c r="G94" s="1397">
        <f t="shared" si="60"/>
        <v>0</v>
      </c>
      <c r="H94" s="1397">
        <f t="shared" si="60"/>
        <v>5.88</v>
      </c>
      <c r="I94" s="1397">
        <f t="shared" si="60"/>
        <v>0</v>
      </c>
      <c r="J94" s="1397">
        <f t="shared" si="60"/>
        <v>5.88</v>
      </c>
      <c r="K94" s="1397">
        <f t="shared" si="60"/>
        <v>0</v>
      </c>
      <c r="L94" s="1397">
        <f t="shared" si="60"/>
        <v>0</v>
      </c>
      <c r="M94" s="1397">
        <f t="shared" si="60"/>
        <v>0</v>
      </c>
      <c r="N94" s="1397">
        <f t="shared" si="60"/>
        <v>0</v>
      </c>
      <c r="O94" s="1397">
        <f t="shared" si="60"/>
        <v>0</v>
      </c>
      <c r="P94" s="1397">
        <f t="shared" si="60"/>
        <v>6.48</v>
      </c>
      <c r="Q94" s="1397">
        <f t="shared" si="60"/>
        <v>0</v>
      </c>
      <c r="R94" s="1397">
        <f t="shared" si="60"/>
        <v>0</v>
      </c>
      <c r="S94" s="1397">
        <f t="shared" si="60"/>
        <v>0</v>
      </c>
      <c r="T94" s="1397">
        <f t="shared" si="60"/>
        <v>0</v>
      </c>
    </row>
    <row r="95" spans="1:20" s="1401" customFormat="1" ht="24">
      <c r="A95" s="1395" t="s">
        <v>60</v>
      </c>
      <c r="B95" s="1396" t="s">
        <v>1158</v>
      </c>
      <c r="C95" s="1397">
        <f>SUM(C96:C97)</f>
        <v>0</v>
      </c>
      <c r="D95" s="1397"/>
      <c r="E95" s="1397"/>
      <c r="F95" s="1397">
        <f>SUM(F96:F97)</f>
        <v>0</v>
      </c>
      <c r="G95" s="1397">
        <f>SUM(G96:G97)</f>
        <v>0</v>
      </c>
      <c r="H95" s="1397">
        <f t="shared" ref="H95:H100" si="61">+I95+J95+K95+L95+M95-N95-O95</f>
        <v>0</v>
      </c>
      <c r="I95" s="1397">
        <f t="shared" ref="I95:T95" si="62">SUM(I96:I97)</f>
        <v>0</v>
      </c>
      <c r="J95" s="1397">
        <f t="shared" si="62"/>
        <v>0</v>
      </c>
      <c r="K95" s="1397">
        <f t="shared" si="62"/>
        <v>0</v>
      </c>
      <c r="L95" s="1397">
        <f t="shared" si="62"/>
        <v>0</v>
      </c>
      <c r="M95" s="1397">
        <f t="shared" si="62"/>
        <v>0</v>
      </c>
      <c r="N95" s="1397">
        <f t="shared" si="62"/>
        <v>0</v>
      </c>
      <c r="O95" s="1397">
        <f t="shared" si="62"/>
        <v>0</v>
      </c>
      <c r="P95" s="1397">
        <f t="shared" si="62"/>
        <v>0</v>
      </c>
      <c r="Q95" s="1397">
        <f t="shared" si="62"/>
        <v>0</v>
      </c>
      <c r="R95" s="1397">
        <f t="shared" si="62"/>
        <v>0</v>
      </c>
      <c r="S95" s="1397">
        <f t="shared" si="62"/>
        <v>0</v>
      </c>
      <c r="T95" s="1397">
        <f t="shared" si="62"/>
        <v>0</v>
      </c>
    </row>
    <row r="96" spans="1:20" s="1401" customFormat="1" ht="12">
      <c r="A96" s="1395" t="s">
        <v>106</v>
      </c>
      <c r="B96" s="1458" t="s">
        <v>551</v>
      </c>
      <c r="C96" s="1397">
        <f>+D96+H96</f>
        <v>0</v>
      </c>
      <c r="D96" s="1398"/>
      <c r="E96" s="1398"/>
      <c r="F96" s="1398"/>
      <c r="G96" s="1398"/>
      <c r="H96" s="1397"/>
      <c r="I96" s="1399"/>
      <c r="J96" s="1399"/>
      <c r="K96" s="1399"/>
      <c r="L96" s="1399"/>
      <c r="M96" s="1399"/>
      <c r="N96" s="1399"/>
      <c r="O96" s="1399"/>
      <c r="P96" s="1397"/>
      <c r="Q96" s="1397"/>
      <c r="R96" s="1397"/>
      <c r="S96" s="1397"/>
      <c r="T96" s="1397"/>
    </row>
    <row r="97" spans="1:20" s="1401" customFormat="1" ht="12">
      <c r="A97" s="1395" t="s">
        <v>106</v>
      </c>
      <c r="B97" s="1458" t="s">
        <v>560</v>
      </c>
      <c r="C97" s="1397">
        <f>+D97+H97</f>
        <v>0</v>
      </c>
      <c r="D97" s="1398"/>
      <c r="E97" s="1398"/>
      <c r="F97" s="1398"/>
      <c r="G97" s="1398"/>
      <c r="H97" s="1397"/>
      <c r="I97" s="1399"/>
      <c r="J97" s="1399"/>
      <c r="K97" s="1399"/>
      <c r="L97" s="1399"/>
      <c r="M97" s="1399"/>
      <c r="N97" s="1399"/>
      <c r="O97" s="1399"/>
      <c r="P97" s="1397"/>
      <c r="Q97" s="1397"/>
      <c r="R97" s="1397"/>
      <c r="S97" s="1397"/>
      <c r="T97" s="1397"/>
    </row>
    <row r="98" spans="1:20" s="1401" customFormat="1" ht="24">
      <c r="A98" s="1395" t="s">
        <v>60</v>
      </c>
      <c r="B98" s="1396" t="s">
        <v>1159</v>
      </c>
      <c r="C98" s="1397">
        <f>SUM(C99:C100)</f>
        <v>227.80159999999998</v>
      </c>
      <c r="D98" s="1397">
        <f>SUM(D99:D100)</f>
        <v>119.80159999999999</v>
      </c>
      <c r="E98" s="1397">
        <f>SUM(E99:E100)</f>
        <v>119.80159999999999</v>
      </c>
      <c r="F98" s="1397">
        <f>SUM(F99:F100)</f>
        <v>0</v>
      </c>
      <c r="G98" s="1397">
        <f>SUM(G99:G100)</f>
        <v>0</v>
      </c>
      <c r="H98" s="1397">
        <f t="shared" si="61"/>
        <v>108</v>
      </c>
      <c r="I98" s="1397">
        <f t="shared" ref="I98:T98" si="63">SUM(I99:I100)</f>
        <v>0</v>
      </c>
      <c r="J98" s="1397">
        <f t="shared" si="63"/>
        <v>108</v>
      </c>
      <c r="K98" s="1397">
        <f t="shared" si="63"/>
        <v>0</v>
      </c>
      <c r="L98" s="1397">
        <f t="shared" si="63"/>
        <v>0</v>
      </c>
      <c r="M98" s="1397">
        <f t="shared" si="63"/>
        <v>0</v>
      </c>
      <c r="N98" s="1397">
        <f t="shared" si="63"/>
        <v>0</v>
      </c>
      <c r="O98" s="1397">
        <f t="shared" si="63"/>
        <v>0</v>
      </c>
      <c r="P98" s="1397">
        <f t="shared" si="63"/>
        <v>224.26599999999999</v>
      </c>
      <c r="Q98" s="1397">
        <f t="shared" si="63"/>
        <v>0</v>
      </c>
      <c r="R98" s="1397">
        <f t="shared" si="63"/>
        <v>3.5355999999999881</v>
      </c>
      <c r="S98" s="1397">
        <f t="shared" si="63"/>
        <v>3.5355999999999881</v>
      </c>
      <c r="T98" s="1397">
        <f t="shared" si="63"/>
        <v>0</v>
      </c>
    </row>
    <row r="99" spans="1:20" s="1401" customFormat="1" ht="12">
      <c r="A99" s="1395" t="s">
        <v>106</v>
      </c>
      <c r="B99" s="1458" t="s">
        <v>551</v>
      </c>
      <c r="C99" s="1397">
        <f>+D99+H99</f>
        <v>221.32159999999999</v>
      </c>
      <c r="D99" s="1398">
        <f>SUM(E99:G99)</f>
        <v>119.2016</v>
      </c>
      <c r="E99" s="1398">
        <v>119.2016</v>
      </c>
      <c r="F99" s="1398"/>
      <c r="G99" s="1398"/>
      <c r="H99" s="1397">
        <f t="shared" si="61"/>
        <v>102.12</v>
      </c>
      <c r="I99" s="1399"/>
      <c r="J99" s="1399">
        <v>102.12</v>
      </c>
      <c r="K99" s="1399"/>
      <c r="L99" s="1399"/>
      <c r="M99" s="1399"/>
      <c r="N99" s="1399"/>
      <c r="O99" s="1399"/>
      <c r="P99" s="1397">
        <v>217.786</v>
      </c>
      <c r="Q99" s="1397"/>
      <c r="R99" s="1397">
        <f>+C99-P99</f>
        <v>3.5355999999999881</v>
      </c>
      <c r="S99" s="1397">
        <f>+R99</f>
        <v>3.5355999999999881</v>
      </c>
      <c r="T99" s="1397"/>
    </row>
    <row r="100" spans="1:20" s="1401" customFormat="1" ht="12">
      <c r="A100" s="1395" t="s">
        <v>106</v>
      </c>
      <c r="B100" s="1458" t="s">
        <v>560</v>
      </c>
      <c r="C100" s="1397">
        <f>+D100+H100</f>
        <v>6.4799999999999995</v>
      </c>
      <c r="D100" s="1398">
        <f>SUM(E100:G100)</f>
        <v>0.6</v>
      </c>
      <c r="E100" s="1398">
        <v>0.6</v>
      </c>
      <c r="F100" s="1398"/>
      <c r="G100" s="1398"/>
      <c r="H100" s="1397">
        <f t="shared" si="61"/>
        <v>5.88</v>
      </c>
      <c r="I100" s="1399"/>
      <c r="J100" s="1399">
        <v>5.88</v>
      </c>
      <c r="K100" s="1399"/>
      <c r="L100" s="1399"/>
      <c r="M100" s="1399"/>
      <c r="N100" s="1399"/>
      <c r="O100" s="1399"/>
      <c r="P100" s="1397">
        <v>6.48</v>
      </c>
      <c r="Q100" s="1397"/>
      <c r="R100" s="1397">
        <f>+C100-P100</f>
        <v>0</v>
      </c>
      <c r="S100" s="1397"/>
      <c r="T100" s="1397"/>
    </row>
    <row r="101" spans="1:20" s="1462" customFormat="1" ht="60">
      <c r="A101" s="1465" t="s">
        <v>228</v>
      </c>
      <c r="B101" s="1466" t="s">
        <v>562</v>
      </c>
      <c r="C101" s="1425">
        <f>+C102+C105</f>
        <v>5136.6944290000001</v>
      </c>
      <c r="D101" s="1425">
        <f>+D102+D105</f>
        <v>2594.6944290000001</v>
      </c>
      <c r="E101" s="1425">
        <f t="shared" ref="E101:S101" si="64">+E102+E105</f>
        <v>2594.6944290000001</v>
      </c>
      <c r="F101" s="1425">
        <f t="shared" si="64"/>
        <v>0</v>
      </c>
      <c r="G101" s="1425">
        <f t="shared" si="64"/>
        <v>0</v>
      </c>
      <c r="H101" s="1425">
        <f t="shared" si="64"/>
        <v>2542</v>
      </c>
      <c r="I101" s="1425">
        <f t="shared" si="64"/>
        <v>0</v>
      </c>
      <c r="J101" s="1425">
        <f t="shared" si="64"/>
        <v>2542</v>
      </c>
      <c r="K101" s="1425">
        <f t="shared" si="64"/>
        <v>0</v>
      </c>
      <c r="L101" s="1425">
        <f t="shared" si="64"/>
        <v>0</v>
      </c>
      <c r="M101" s="1425">
        <f t="shared" si="64"/>
        <v>0</v>
      </c>
      <c r="N101" s="1425">
        <f t="shared" si="64"/>
        <v>0</v>
      </c>
      <c r="O101" s="1425">
        <f t="shared" si="64"/>
        <v>0</v>
      </c>
      <c r="P101" s="1425">
        <f>+P102+P105</f>
        <v>4877.185982</v>
      </c>
      <c r="Q101" s="1425">
        <f t="shared" si="64"/>
        <v>0</v>
      </c>
      <c r="R101" s="1425">
        <f t="shared" si="64"/>
        <v>259.50844699999971</v>
      </c>
      <c r="S101" s="1425">
        <f t="shared" si="64"/>
        <v>259.50844699999971</v>
      </c>
      <c r="T101" s="1425">
        <f>+T102+T105</f>
        <v>0</v>
      </c>
    </row>
    <row r="102" spans="1:20" s="1467" customFormat="1" ht="48">
      <c r="A102" s="1395" t="s">
        <v>1160</v>
      </c>
      <c r="B102" s="1412" t="s">
        <v>563</v>
      </c>
      <c r="C102" s="1416">
        <f>+D102+H102</f>
        <v>2900.269029</v>
      </c>
      <c r="D102" s="1435">
        <f>SUM(D103:D104)</f>
        <v>1454.2390290000001</v>
      </c>
      <c r="E102" s="1435">
        <f>SUM(E103:E104)</f>
        <v>1454.2390290000001</v>
      </c>
      <c r="F102" s="1435"/>
      <c r="G102" s="1435">
        <f>SUM(G103:G104)</f>
        <v>0</v>
      </c>
      <c r="H102" s="1435">
        <f t="shared" ref="H102:M102" si="65">H103+H104</f>
        <v>1446.03</v>
      </c>
      <c r="I102" s="1435">
        <f t="shared" si="65"/>
        <v>0</v>
      </c>
      <c r="J102" s="1435">
        <f t="shared" si="65"/>
        <v>1446.03</v>
      </c>
      <c r="K102" s="1435">
        <f t="shared" si="65"/>
        <v>0</v>
      </c>
      <c r="L102" s="1435">
        <f t="shared" si="65"/>
        <v>0</v>
      </c>
      <c r="M102" s="1435">
        <f t="shared" si="65"/>
        <v>0</v>
      </c>
      <c r="N102" s="1435">
        <f>N103+N104</f>
        <v>0</v>
      </c>
      <c r="O102" s="1435">
        <f t="shared" ref="O102:T102" si="66">O103+O104</f>
        <v>0</v>
      </c>
      <c r="P102" s="1435">
        <f t="shared" si="66"/>
        <v>2700.5063620000001</v>
      </c>
      <c r="Q102" s="1435">
        <f t="shared" si="66"/>
        <v>0</v>
      </c>
      <c r="R102" s="1435">
        <f t="shared" si="66"/>
        <v>199.76266699999996</v>
      </c>
      <c r="S102" s="1435">
        <f t="shared" si="66"/>
        <v>199.76266699999996</v>
      </c>
      <c r="T102" s="1435">
        <f t="shared" si="66"/>
        <v>0</v>
      </c>
    </row>
    <row r="103" spans="1:20" s="1401" customFormat="1" ht="12">
      <c r="A103" s="1395" t="s">
        <v>106</v>
      </c>
      <c r="B103" s="1458" t="s">
        <v>551</v>
      </c>
      <c r="C103" s="1397">
        <f>+D103+H103</f>
        <v>2900.269029</v>
      </c>
      <c r="D103" s="1398">
        <f>SUM(E103:G103)</f>
        <v>1454.2390290000001</v>
      </c>
      <c r="E103" s="1398">
        <v>1454.2390290000001</v>
      </c>
      <c r="F103" s="1420"/>
      <c r="G103" s="1398"/>
      <c r="H103" s="1397">
        <f>+I103+J103+K103+L103+M103-N103-O103</f>
        <v>1446.03</v>
      </c>
      <c r="I103" s="1399"/>
      <c r="J103" s="1398">
        <v>1446.03</v>
      </c>
      <c r="K103" s="1399"/>
      <c r="L103" s="1399"/>
      <c r="M103" s="1399"/>
      <c r="N103" s="1399"/>
      <c r="O103" s="1399"/>
      <c r="P103" s="1397">
        <v>2700.5063620000001</v>
      </c>
      <c r="Q103" s="1397"/>
      <c r="R103" s="1397">
        <f>+C103-P103-Q103</f>
        <v>199.76266699999996</v>
      </c>
      <c r="S103" s="1397">
        <f>+R103</f>
        <v>199.76266699999996</v>
      </c>
      <c r="T103" s="1397"/>
    </row>
    <row r="104" spans="1:20" s="1401" customFormat="1" ht="12">
      <c r="A104" s="1395" t="s">
        <v>106</v>
      </c>
      <c r="B104" s="1458" t="s">
        <v>560</v>
      </c>
      <c r="C104" s="1397"/>
      <c r="D104" s="1398"/>
      <c r="E104" s="1398"/>
      <c r="F104" s="1398"/>
      <c r="G104" s="1398"/>
      <c r="H104" s="1397">
        <f>+I104+J104+K104+L104+M104-N104-O104</f>
        <v>0</v>
      </c>
      <c r="I104" s="1399"/>
      <c r="J104" s="1399"/>
      <c r="K104" s="1399"/>
      <c r="L104" s="1399"/>
      <c r="M104" s="1399"/>
      <c r="N104" s="1399"/>
      <c r="O104" s="1399"/>
      <c r="P104" s="1397"/>
      <c r="Q104" s="1397"/>
      <c r="R104" s="1397"/>
      <c r="S104" s="1397"/>
      <c r="T104" s="1397"/>
    </row>
    <row r="105" spans="1:20" s="1401" customFormat="1" ht="72">
      <c r="A105" s="1395" t="s">
        <v>565</v>
      </c>
      <c r="B105" s="1412" t="s">
        <v>564</v>
      </c>
      <c r="C105" s="1397">
        <f t="shared" ref="C105:C110" si="67">+D105+H105</f>
        <v>2236.4254000000001</v>
      </c>
      <c r="D105" s="1398">
        <f>SUM(D106:D107)</f>
        <v>1140.4554000000001</v>
      </c>
      <c r="E105" s="1398">
        <f t="shared" ref="E105:T105" si="68">SUM(E106:E107)</f>
        <v>1140.4554000000001</v>
      </c>
      <c r="F105" s="1398">
        <f t="shared" si="68"/>
        <v>0</v>
      </c>
      <c r="G105" s="1398">
        <f t="shared" si="68"/>
        <v>0</v>
      </c>
      <c r="H105" s="1397">
        <f t="shared" si="59"/>
        <v>1095.97</v>
      </c>
      <c r="I105" s="1398">
        <f t="shared" si="68"/>
        <v>0</v>
      </c>
      <c r="J105" s="1398">
        <f t="shared" si="68"/>
        <v>1095.97</v>
      </c>
      <c r="K105" s="1398">
        <f t="shared" si="68"/>
        <v>0</v>
      </c>
      <c r="L105" s="1398">
        <f t="shared" si="68"/>
        <v>0</v>
      </c>
      <c r="M105" s="1398">
        <f t="shared" si="68"/>
        <v>0</v>
      </c>
      <c r="N105" s="1398">
        <f t="shared" si="68"/>
        <v>0</v>
      </c>
      <c r="O105" s="1398">
        <f t="shared" si="68"/>
        <v>0</v>
      </c>
      <c r="P105" s="1398">
        <f t="shared" si="68"/>
        <v>2176.6796199999999</v>
      </c>
      <c r="Q105" s="1398">
        <f t="shared" si="68"/>
        <v>0</v>
      </c>
      <c r="R105" s="1398">
        <f t="shared" si="68"/>
        <v>59.745779999999741</v>
      </c>
      <c r="S105" s="1398">
        <f t="shared" si="68"/>
        <v>59.745779999999741</v>
      </c>
      <c r="T105" s="1398">
        <f t="shared" si="68"/>
        <v>0</v>
      </c>
    </row>
    <row r="106" spans="1:20" s="1401" customFormat="1" ht="12">
      <c r="A106" s="1395" t="s">
        <v>106</v>
      </c>
      <c r="B106" s="1458" t="s">
        <v>551</v>
      </c>
      <c r="C106" s="1397">
        <f t="shared" si="67"/>
        <v>2091.9553999999998</v>
      </c>
      <c r="D106" s="1398">
        <f>SUM(E106:G106)</f>
        <v>1084.4554000000001</v>
      </c>
      <c r="E106" s="1398">
        <v>1084.4554000000001</v>
      </c>
      <c r="F106" s="1398"/>
      <c r="G106" s="1398">
        <v>0</v>
      </c>
      <c r="H106" s="1397">
        <f t="shared" si="59"/>
        <v>1007.5</v>
      </c>
      <c r="I106" s="1399"/>
      <c r="J106" s="1399">
        <v>1007.5</v>
      </c>
      <c r="K106" s="1399"/>
      <c r="L106" s="1399"/>
      <c r="M106" s="1399"/>
      <c r="N106" s="1399"/>
      <c r="O106" s="1399"/>
      <c r="P106" s="1397">
        <v>2032.2096200000001</v>
      </c>
      <c r="Q106" s="1397"/>
      <c r="R106" s="1397">
        <f>+C106-P106-Q106</f>
        <v>59.745779999999741</v>
      </c>
      <c r="S106" s="1397">
        <f>+R106</f>
        <v>59.745779999999741</v>
      </c>
      <c r="T106" s="1397"/>
    </row>
    <row r="107" spans="1:20" s="1401" customFormat="1" ht="12">
      <c r="A107" s="1395" t="s">
        <v>106</v>
      </c>
      <c r="B107" s="1458" t="s">
        <v>560</v>
      </c>
      <c r="C107" s="1397">
        <f t="shared" si="67"/>
        <v>144.47</v>
      </c>
      <c r="D107" s="1398">
        <f>SUM(E107:G107)</f>
        <v>56</v>
      </c>
      <c r="E107" s="1398">
        <v>56</v>
      </c>
      <c r="F107" s="1398"/>
      <c r="G107" s="1398">
        <v>0</v>
      </c>
      <c r="H107" s="1397">
        <f t="shared" si="59"/>
        <v>88.47</v>
      </c>
      <c r="I107" s="1399"/>
      <c r="J107" s="1399">
        <v>88.47</v>
      </c>
      <c r="K107" s="1399"/>
      <c r="L107" s="1399"/>
      <c r="M107" s="1399"/>
      <c r="N107" s="1399"/>
      <c r="O107" s="1399"/>
      <c r="P107" s="1397">
        <v>144.47</v>
      </c>
      <c r="Q107" s="1397"/>
      <c r="R107" s="1397">
        <f>+C107-P107-Q107</f>
        <v>0</v>
      </c>
      <c r="S107" s="1397">
        <f>+R107</f>
        <v>0</v>
      </c>
      <c r="T107" s="1397"/>
    </row>
    <row r="108" spans="1:20" s="1462" customFormat="1" ht="48">
      <c r="A108" s="1465" t="s">
        <v>235</v>
      </c>
      <c r="B108" s="1466" t="s">
        <v>559</v>
      </c>
      <c r="C108" s="1425">
        <f t="shared" si="67"/>
        <v>384.00099999999998</v>
      </c>
      <c r="D108" s="1429">
        <f>+E108</f>
        <v>39.000999999999998</v>
      </c>
      <c r="E108" s="1429">
        <f>SUM(E109:E110)+0.001</f>
        <v>39.000999999999998</v>
      </c>
      <c r="F108" s="1429">
        <f t="shared" ref="F108:T108" si="69">SUM(F109:F110)</f>
        <v>0</v>
      </c>
      <c r="G108" s="1429">
        <f t="shared" si="69"/>
        <v>0</v>
      </c>
      <c r="H108" s="1425">
        <f t="shared" si="59"/>
        <v>345</v>
      </c>
      <c r="I108" s="1429">
        <f t="shared" si="69"/>
        <v>0</v>
      </c>
      <c r="J108" s="1429">
        <f t="shared" si="69"/>
        <v>345</v>
      </c>
      <c r="K108" s="1429">
        <f t="shared" si="69"/>
        <v>0</v>
      </c>
      <c r="L108" s="1429">
        <f t="shared" si="69"/>
        <v>0</v>
      </c>
      <c r="M108" s="1429">
        <f t="shared" si="69"/>
        <v>0</v>
      </c>
      <c r="N108" s="1429">
        <f>SUM(N109:N110)</f>
        <v>0</v>
      </c>
      <c r="O108" s="1429">
        <f t="shared" si="69"/>
        <v>0</v>
      </c>
      <c r="P108" s="1429">
        <f>SUM(P109:P110)</f>
        <v>377.78486299999997</v>
      </c>
      <c r="Q108" s="1429">
        <v>1E-3</v>
      </c>
      <c r="R108" s="1429">
        <f t="shared" si="69"/>
        <v>6.215137000000027</v>
      </c>
      <c r="S108" s="1429">
        <f t="shared" si="69"/>
        <v>6.215137000000027</v>
      </c>
      <c r="T108" s="1429">
        <f t="shared" si="69"/>
        <v>0</v>
      </c>
    </row>
    <row r="109" spans="1:20" s="1401" customFormat="1" ht="12">
      <c r="A109" s="1395" t="s">
        <v>106</v>
      </c>
      <c r="B109" s="1458" t="s">
        <v>551</v>
      </c>
      <c r="C109" s="1397">
        <f t="shared" si="67"/>
        <v>363.1</v>
      </c>
      <c r="D109" s="1398">
        <f>SUM(E109:G109)</f>
        <v>37</v>
      </c>
      <c r="E109" s="1398">
        <v>37</v>
      </c>
      <c r="F109" s="1398"/>
      <c r="G109" s="1398"/>
      <c r="H109" s="1397">
        <f t="shared" si="59"/>
        <v>326.10000000000002</v>
      </c>
      <c r="I109" s="1399"/>
      <c r="J109" s="1399">
        <v>326.10000000000002</v>
      </c>
      <c r="K109" s="1399"/>
      <c r="L109" s="1399"/>
      <c r="M109" s="1399"/>
      <c r="N109" s="1399"/>
      <c r="O109" s="1399"/>
      <c r="P109" s="1397">
        <v>356.884863</v>
      </c>
      <c r="Q109" s="1397"/>
      <c r="R109" s="1397">
        <f>+C109-P109-Q109</f>
        <v>6.215137000000027</v>
      </c>
      <c r="S109" s="1397">
        <f>+R109</f>
        <v>6.215137000000027</v>
      </c>
      <c r="T109" s="1397"/>
    </row>
    <row r="110" spans="1:20" s="1401" customFormat="1" ht="12">
      <c r="A110" s="1395" t="s">
        <v>106</v>
      </c>
      <c r="B110" s="1458" t="s">
        <v>560</v>
      </c>
      <c r="C110" s="1397">
        <f t="shared" si="67"/>
        <v>20.9</v>
      </c>
      <c r="D110" s="1398">
        <f>SUM(E110:G110)</f>
        <v>2</v>
      </c>
      <c r="E110" s="1398">
        <v>2</v>
      </c>
      <c r="F110" s="1398"/>
      <c r="G110" s="1398"/>
      <c r="H110" s="1397">
        <f t="shared" si="59"/>
        <v>18.899999999999999</v>
      </c>
      <c r="I110" s="1399"/>
      <c r="J110" s="1399">
        <v>18.899999999999999</v>
      </c>
      <c r="K110" s="1399"/>
      <c r="L110" s="1399"/>
      <c r="M110" s="1399"/>
      <c r="N110" s="1399"/>
      <c r="O110" s="1399"/>
      <c r="P110" s="1397">
        <v>20.9</v>
      </c>
      <c r="Q110" s="1397"/>
      <c r="R110" s="1397">
        <f>+C110-P110-Q110</f>
        <v>0</v>
      </c>
      <c r="S110" s="1397">
        <f>+R110</f>
        <v>0</v>
      </c>
      <c r="T110" s="1397"/>
    </row>
    <row r="111" spans="1:20" s="1462" customFormat="1" ht="36">
      <c r="A111" s="1465" t="s">
        <v>49</v>
      </c>
      <c r="B111" s="1466" t="s">
        <v>566</v>
      </c>
      <c r="C111" s="1425">
        <f>+C112+C113</f>
        <v>1116.5429999999999</v>
      </c>
      <c r="D111" s="1425">
        <f t="shared" ref="D111:T111" si="70">+D112+D113</f>
        <v>56.542999999999999</v>
      </c>
      <c r="E111" s="1425">
        <f t="shared" si="70"/>
        <v>56.542999999999999</v>
      </c>
      <c r="F111" s="1425">
        <f t="shared" si="70"/>
        <v>0</v>
      </c>
      <c r="G111" s="1425">
        <f t="shared" si="70"/>
        <v>0</v>
      </c>
      <c r="H111" s="1425">
        <f t="shared" si="59"/>
        <v>1060</v>
      </c>
      <c r="I111" s="1425">
        <f t="shared" si="70"/>
        <v>0</v>
      </c>
      <c r="J111" s="1425">
        <f t="shared" si="70"/>
        <v>1060</v>
      </c>
      <c r="K111" s="1425">
        <f t="shared" si="70"/>
        <v>0</v>
      </c>
      <c r="L111" s="1425">
        <f t="shared" si="70"/>
        <v>0</v>
      </c>
      <c r="M111" s="1425">
        <f t="shared" si="70"/>
        <v>0</v>
      </c>
      <c r="N111" s="1425">
        <f t="shared" si="70"/>
        <v>0</v>
      </c>
      <c r="O111" s="1425">
        <f t="shared" si="70"/>
        <v>0</v>
      </c>
      <c r="P111" s="1425">
        <f t="shared" si="70"/>
        <v>1072.074758</v>
      </c>
      <c r="Q111" s="1425">
        <f t="shared" si="70"/>
        <v>0</v>
      </c>
      <c r="R111" s="1425">
        <f t="shared" si="70"/>
        <v>44.468241999999982</v>
      </c>
      <c r="S111" s="1425">
        <f t="shared" si="70"/>
        <v>44.468241999999982</v>
      </c>
      <c r="T111" s="1425">
        <f t="shared" si="70"/>
        <v>0</v>
      </c>
    </row>
    <row r="112" spans="1:20" s="1401" customFormat="1" ht="12">
      <c r="A112" s="1395" t="s">
        <v>106</v>
      </c>
      <c r="B112" s="1458" t="s">
        <v>551</v>
      </c>
      <c r="C112" s="1397">
        <f>+C115+C118+C121+C124</f>
        <v>1041.8</v>
      </c>
      <c r="D112" s="1397">
        <f t="shared" ref="D112:E112" si="71">+D115+D118+D121+D124</f>
        <v>40</v>
      </c>
      <c r="E112" s="1397">
        <f t="shared" si="71"/>
        <v>40</v>
      </c>
      <c r="F112" s="1397">
        <f t="shared" ref="F112:T113" si="72">+F115+F118+F121+F124</f>
        <v>0</v>
      </c>
      <c r="G112" s="1397">
        <f t="shared" si="72"/>
        <v>0</v>
      </c>
      <c r="H112" s="1397">
        <f t="shared" si="59"/>
        <v>1001.8</v>
      </c>
      <c r="I112" s="1397">
        <f t="shared" si="72"/>
        <v>0</v>
      </c>
      <c r="J112" s="1397">
        <f t="shared" si="72"/>
        <v>1001.8</v>
      </c>
      <c r="K112" s="1397">
        <f t="shared" si="72"/>
        <v>0</v>
      </c>
      <c r="L112" s="1397">
        <f t="shared" si="72"/>
        <v>0</v>
      </c>
      <c r="M112" s="1397">
        <f t="shared" si="72"/>
        <v>0</v>
      </c>
      <c r="N112" s="1397">
        <f t="shared" si="72"/>
        <v>0</v>
      </c>
      <c r="O112" s="1397">
        <f t="shared" si="72"/>
        <v>0</v>
      </c>
      <c r="P112" s="1397">
        <f>+P115+P118+P121+P124</f>
        <v>998.73175800000001</v>
      </c>
      <c r="Q112" s="1397">
        <f t="shared" si="72"/>
        <v>0</v>
      </c>
      <c r="R112" s="1397">
        <f t="shared" si="72"/>
        <v>43.068241999999984</v>
      </c>
      <c r="S112" s="1397">
        <f t="shared" si="72"/>
        <v>43.068241999999984</v>
      </c>
      <c r="T112" s="1397">
        <f t="shared" si="72"/>
        <v>0</v>
      </c>
    </row>
    <row r="113" spans="1:20" s="1401" customFormat="1" ht="12">
      <c r="A113" s="1395" t="s">
        <v>106</v>
      </c>
      <c r="B113" s="1458" t="s">
        <v>560</v>
      </c>
      <c r="C113" s="1397">
        <f>+C116+C119+C122+C125</f>
        <v>74.743000000000009</v>
      </c>
      <c r="D113" s="1397">
        <f t="shared" ref="D113:E113" si="73">+D116+D119+D122+D125</f>
        <v>16.542999999999999</v>
      </c>
      <c r="E113" s="1397">
        <f t="shared" si="73"/>
        <v>16.542999999999999</v>
      </c>
      <c r="F113" s="1397">
        <f t="shared" si="72"/>
        <v>0</v>
      </c>
      <c r="G113" s="1397">
        <f t="shared" si="72"/>
        <v>0</v>
      </c>
      <c r="H113" s="1397">
        <f t="shared" si="59"/>
        <v>58.2</v>
      </c>
      <c r="I113" s="1397">
        <f t="shared" si="72"/>
        <v>0</v>
      </c>
      <c r="J113" s="1397">
        <f t="shared" si="72"/>
        <v>58.2</v>
      </c>
      <c r="K113" s="1397">
        <f t="shared" si="72"/>
        <v>0</v>
      </c>
      <c r="L113" s="1397">
        <f t="shared" si="72"/>
        <v>0</v>
      </c>
      <c r="M113" s="1397">
        <f t="shared" si="72"/>
        <v>0</v>
      </c>
      <c r="N113" s="1397">
        <f t="shared" si="72"/>
        <v>0</v>
      </c>
      <c r="O113" s="1397">
        <f t="shared" si="72"/>
        <v>0</v>
      </c>
      <c r="P113" s="1397">
        <f>+P116+P119+P122+P125</f>
        <v>73.343000000000004</v>
      </c>
      <c r="Q113" s="1397">
        <f t="shared" si="72"/>
        <v>0</v>
      </c>
      <c r="R113" s="1397">
        <f t="shared" si="72"/>
        <v>1.4000000000000001</v>
      </c>
      <c r="S113" s="1397">
        <f t="shared" si="72"/>
        <v>1.4</v>
      </c>
      <c r="T113" s="1397">
        <f t="shared" si="72"/>
        <v>0</v>
      </c>
    </row>
    <row r="114" spans="1:20" s="1401" customFormat="1" ht="84">
      <c r="A114" s="1395" t="s">
        <v>570</v>
      </c>
      <c r="B114" s="1412" t="s">
        <v>567</v>
      </c>
      <c r="C114" s="1397">
        <f>SUM(C115:C116)</f>
        <v>916.54300000000001</v>
      </c>
      <c r="D114" s="1398">
        <f t="shared" ref="D114:Q114" si="74">SUM(D115:D116)</f>
        <v>16.542999999999999</v>
      </c>
      <c r="E114" s="1398">
        <f>+E115+E116</f>
        <v>16.542999999999999</v>
      </c>
      <c r="F114" s="1398"/>
      <c r="G114" s="1398">
        <v>0</v>
      </c>
      <c r="H114" s="1397">
        <f t="shared" si="59"/>
        <v>900</v>
      </c>
      <c r="I114" s="1398">
        <f t="shared" si="74"/>
        <v>0</v>
      </c>
      <c r="J114" s="1398">
        <f t="shared" si="74"/>
        <v>900</v>
      </c>
      <c r="K114" s="1398">
        <f t="shared" si="74"/>
        <v>0</v>
      </c>
      <c r="L114" s="1398">
        <f t="shared" si="74"/>
        <v>0</v>
      </c>
      <c r="M114" s="1398"/>
      <c r="N114" s="1398"/>
      <c r="O114" s="1398">
        <f t="shared" si="74"/>
        <v>0</v>
      </c>
      <c r="P114" s="1397">
        <f t="shared" si="74"/>
        <v>897.72567800000002</v>
      </c>
      <c r="Q114" s="1397">
        <f t="shared" si="74"/>
        <v>0</v>
      </c>
      <c r="R114" s="1397">
        <f>SUM(R115:R116)</f>
        <v>18.81732199999999</v>
      </c>
      <c r="S114" s="1397">
        <f>SUM(S115:S116)</f>
        <v>18.81732199999999</v>
      </c>
      <c r="T114" s="1397">
        <f>SUM(T115:T116)</f>
        <v>0</v>
      </c>
    </row>
    <row r="115" spans="1:20" s="1401" customFormat="1" ht="12">
      <c r="A115" s="1395" t="s">
        <v>106</v>
      </c>
      <c r="B115" s="1458" t="s">
        <v>551</v>
      </c>
      <c r="C115" s="1397">
        <f>+D115+H115</f>
        <v>851</v>
      </c>
      <c r="D115" s="1398"/>
      <c r="E115" s="1398"/>
      <c r="F115" s="1398"/>
      <c r="G115" s="1398"/>
      <c r="H115" s="1397">
        <f t="shared" si="59"/>
        <v>851</v>
      </c>
      <c r="I115" s="1399"/>
      <c r="J115" s="1399">
        <v>851</v>
      </c>
      <c r="K115" s="1399"/>
      <c r="L115" s="1399"/>
      <c r="M115" s="1399"/>
      <c r="N115" s="1399"/>
      <c r="O115" s="1399"/>
      <c r="P115" s="1397">
        <v>832.18267800000001</v>
      </c>
      <c r="Q115" s="1397"/>
      <c r="R115" s="1397">
        <f>+C115-P115-Q115</f>
        <v>18.81732199999999</v>
      </c>
      <c r="S115" s="1397">
        <f>+R115</f>
        <v>18.81732199999999</v>
      </c>
      <c r="T115" s="1397"/>
    </row>
    <row r="116" spans="1:20" s="1401" customFormat="1" ht="12">
      <c r="A116" s="1395" t="s">
        <v>106</v>
      </c>
      <c r="B116" s="1458" t="s">
        <v>560</v>
      </c>
      <c r="C116" s="1397">
        <f>+D116+H116</f>
        <v>65.543000000000006</v>
      </c>
      <c r="D116" s="1398">
        <f>SUM(E116:G116)</f>
        <v>16.542999999999999</v>
      </c>
      <c r="E116" s="1398">
        <v>16.542999999999999</v>
      </c>
      <c r="F116" s="1398"/>
      <c r="G116" s="1398"/>
      <c r="H116" s="1397">
        <f t="shared" si="59"/>
        <v>49</v>
      </c>
      <c r="I116" s="1399"/>
      <c r="J116" s="1399">
        <v>49</v>
      </c>
      <c r="K116" s="1399"/>
      <c r="L116" s="1399"/>
      <c r="M116" s="1399"/>
      <c r="N116" s="1399"/>
      <c r="O116" s="1399"/>
      <c r="P116" s="1397">
        <v>65.543000000000006</v>
      </c>
      <c r="Q116" s="1397"/>
      <c r="R116" s="1397">
        <f>+C116-P116-Q116</f>
        <v>0</v>
      </c>
      <c r="S116" s="1397">
        <f>+R116</f>
        <v>0</v>
      </c>
      <c r="T116" s="1397"/>
    </row>
    <row r="117" spans="1:20" s="1401" customFormat="1" ht="60">
      <c r="A117" s="1395" t="s">
        <v>571</v>
      </c>
      <c r="B117" s="1412" t="s">
        <v>568</v>
      </c>
      <c r="C117" s="1397">
        <f>+C118+C119</f>
        <v>0</v>
      </c>
      <c r="D117" s="1398"/>
      <c r="E117" s="1398"/>
      <c r="F117" s="1398"/>
      <c r="G117" s="1398">
        <v>0</v>
      </c>
      <c r="H117" s="1397">
        <f t="shared" si="59"/>
        <v>0</v>
      </c>
      <c r="I117" s="1398">
        <f t="shared" ref="I117:Q117" si="75">+I118+I119</f>
        <v>0</v>
      </c>
      <c r="J117" s="1398">
        <f t="shared" si="75"/>
        <v>0</v>
      </c>
      <c r="K117" s="1398">
        <f t="shared" si="75"/>
        <v>0</v>
      </c>
      <c r="L117" s="1398">
        <f t="shared" si="75"/>
        <v>0</v>
      </c>
      <c r="M117" s="1398"/>
      <c r="N117" s="1398"/>
      <c r="O117" s="1398">
        <f t="shared" si="75"/>
        <v>0</v>
      </c>
      <c r="P117" s="1397"/>
      <c r="Q117" s="1397">
        <f t="shared" si="75"/>
        <v>0</v>
      </c>
      <c r="R117" s="1397">
        <f>+R118+R119</f>
        <v>0</v>
      </c>
      <c r="S117" s="1397">
        <f>+S118+S119</f>
        <v>0</v>
      </c>
      <c r="T117" s="1397">
        <f>+T118+T119</f>
        <v>0</v>
      </c>
    </row>
    <row r="118" spans="1:20" s="1401" customFormat="1" ht="12">
      <c r="A118" s="1395" t="s">
        <v>106</v>
      </c>
      <c r="B118" s="1458" t="s">
        <v>551</v>
      </c>
      <c r="C118" s="1397">
        <f>+D118+H118</f>
        <v>0</v>
      </c>
      <c r="D118" s="1398"/>
      <c r="E118" s="1398"/>
      <c r="F118" s="1398"/>
      <c r="G118" s="1398"/>
      <c r="H118" s="1397">
        <f t="shared" si="59"/>
        <v>0</v>
      </c>
      <c r="I118" s="1399"/>
      <c r="J118" s="1399"/>
      <c r="K118" s="1399"/>
      <c r="L118" s="1399"/>
      <c r="M118" s="1399"/>
      <c r="N118" s="1399"/>
      <c r="O118" s="1399"/>
      <c r="P118" s="1397"/>
      <c r="Q118" s="1397"/>
      <c r="R118" s="1397">
        <f>+C118-P118-Q118</f>
        <v>0</v>
      </c>
      <c r="S118" s="1397">
        <f>+R118</f>
        <v>0</v>
      </c>
      <c r="T118" s="1397"/>
    </row>
    <row r="119" spans="1:20" s="1401" customFormat="1" ht="12">
      <c r="A119" s="1395" t="s">
        <v>106</v>
      </c>
      <c r="B119" s="1458" t="s">
        <v>560</v>
      </c>
      <c r="C119" s="1397">
        <f>+D119+H119</f>
        <v>0</v>
      </c>
      <c r="D119" s="1398"/>
      <c r="E119" s="1398"/>
      <c r="F119" s="1398"/>
      <c r="G119" s="1398"/>
      <c r="H119" s="1397">
        <f t="shared" si="59"/>
        <v>0</v>
      </c>
      <c r="I119" s="1399"/>
      <c r="J119" s="1399"/>
      <c r="K119" s="1399"/>
      <c r="L119" s="1399"/>
      <c r="M119" s="1399"/>
      <c r="N119" s="1399"/>
      <c r="O119" s="1399"/>
      <c r="P119" s="1397"/>
      <c r="Q119" s="1397"/>
      <c r="R119" s="1397">
        <f>+C119-P119-Q119</f>
        <v>0</v>
      </c>
      <c r="S119" s="1397">
        <v>0</v>
      </c>
      <c r="T119" s="1397"/>
    </row>
    <row r="120" spans="1:20" s="1401" customFormat="1" ht="48">
      <c r="A120" s="1395" t="s">
        <v>572</v>
      </c>
      <c r="B120" s="1412" t="s">
        <v>569</v>
      </c>
      <c r="C120" s="1397">
        <f>+C121+C122</f>
        <v>100</v>
      </c>
      <c r="D120" s="1398"/>
      <c r="E120" s="1398"/>
      <c r="F120" s="1398">
        <f t="shared" ref="F120:T120" si="76">+F121+F122</f>
        <v>0</v>
      </c>
      <c r="G120" s="1398">
        <f t="shared" si="76"/>
        <v>0</v>
      </c>
      <c r="H120" s="1397">
        <f t="shared" si="59"/>
        <v>100</v>
      </c>
      <c r="I120" s="1398">
        <f t="shared" si="76"/>
        <v>0</v>
      </c>
      <c r="J120" s="1398">
        <f t="shared" si="76"/>
        <v>100</v>
      </c>
      <c r="K120" s="1398">
        <f t="shared" si="76"/>
        <v>0</v>
      </c>
      <c r="L120" s="1398">
        <f t="shared" si="76"/>
        <v>0</v>
      </c>
      <c r="M120" s="1398">
        <f t="shared" si="76"/>
        <v>0</v>
      </c>
      <c r="N120" s="1398">
        <f t="shared" si="76"/>
        <v>0</v>
      </c>
      <c r="O120" s="1398">
        <f t="shared" si="76"/>
        <v>0</v>
      </c>
      <c r="P120" s="1398">
        <f>+P121+P122</f>
        <v>98.17268</v>
      </c>
      <c r="Q120" s="1398">
        <f t="shared" si="76"/>
        <v>0</v>
      </c>
      <c r="R120" s="1398">
        <f t="shared" si="76"/>
        <v>1.8273200000000003</v>
      </c>
      <c r="S120" s="1398">
        <f t="shared" si="76"/>
        <v>1.8273200000000003</v>
      </c>
      <c r="T120" s="1398">
        <f t="shared" si="76"/>
        <v>0</v>
      </c>
    </row>
    <row r="121" spans="1:20" s="1401" customFormat="1" ht="12">
      <c r="A121" s="1395" t="s">
        <v>106</v>
      </c>
      <c r="B121" s="1458" t="s">
        <v>551</v>
      </c>
      <c r="C121" s="1397">
        <f>+D121+H121</f>
        <v>94</v>
      </c>
      <c r="D121" s="1398"/>
      <c r="E121" s="1398"/>
      <c r="F121" s="1398"/>
      <c r="G121" s="1398"/>
      <c r="H121" s="1397">
        <f t="shared" si="59"/>
        <v>94</v>
      </c>
      <c r="I121" s="1399"/>
      <c r="J121" s="1399">
        <v>94</v>
      </c>
      <c r="K121" s="1399"/>
      <c r="L121" s="1399"/>
      <c r="M121" s="1399"/>
      <c r="N121" s="1399"/>
      <c r="O121" s="1399"/>
      <c r="P121" s="1397">
        <v>92.17268</v>
      </c>
      <c r="Q121" s="1397"/>
      <c r="R121" s="1397">
        <f>+C121-P121-Q121</f>
        <v>1.8273200000000003</v>
      </c>
      <c r="S121" s="1397">
        <f>+R121</f>
        <v>1.8273200000000003</v>
      </c>
      <c r="T121" s="1397"/>
    </row>
    <row r="122" spans="1:20" s="1401" customFormat="1" ht="12">
      <c r="A122" s="1395" t="s">
        <v>106</v>
      </c>
      <c r="B122" s="1458" t="s">
        <v>560</v>
      </c>
      <c r="C122" s="1397">
        <f>+D122+H122</f>
        <v>6</v>
      </c>
      <c r="D122" s="1398"/>
      <c r="E122" s="1398"/>
      <c r="F122" s="1398"/>
      <c r="G122" s="1398"/>
      <c r="H122" s="1397">
        <f t="shared" si="59"/>
        <v>6</v>
      </c>
      <c r="I122" s="1399"/>
      <c r="J122" s="1399">
        <v>6</v>
      </c>
      <c r="K122" s="1399"/>
      <c r="L122" s="1399"/>
      <c r="M122" s="1399"/>
      <c r="N122" s="1399"/>
      <c r="O122" s="1399"/>
      <c r="P122" s="1397">
        <v>6</v>
      </c>
      <c r="Q122" s="1397"/>
      <c r="R122" s="1397">
        <f>+C122-P122-Q122</f>
        <v>0</v>
      </c>
      <c r="S122" s="1397"/>
      <c r="T122" s="1397"/>
    </row>
    <row r="123" spans="1:20" s="1401" customFormat="1" ht="36">
      <c r="A123" s="1395" t="s">
        <v>634</v>
      </c>
      <c r="B123" s="1412" t="s">
        <v>635</v>
      </c>
      <c r="C123" s="1397">
        <f>+C124+C125</f>
        <v>100</v>
      </c>
      <c r="D123" s="1398">
        <f>+D124+D125</f>
        <v>40</v>
      </c>
      <c r="E123" s="1398">
        <f t="shared" ref="E123:T123" si="77">+E124+E125</f>
        <v>40</v>
      </c>
      <c r="F123" s="1398">
        <f t="shared" si="77"/>
        <v>0</v>
      </c>
      <c r="G123" s="1398">
        <f t="shared" si="77"/>
        <v>0</v>
      </c>
      <c r="H123" s="1397">
        <f t="shared" si="59"/>
        <v>60</v>
      </c>
      <c r="I123" s="1398">
        <f t="shared" si="77"/>
        <v>0</v>
      </c>
      <c r="J123" s="1398">
        <f t="shared" si="77"/>
        <v>60</v>
      </c>
      <c r="K123" s="1398">
        <f t="shared" si="77"/>
        <v>0</v>
      </c>
      <c r="L123" s="1398">
        <f t="shared" si="77"/>
        <v>0</v>
      </c>
      <c r="M123" s="1398">
        <f t="shared" si="77"/>
        <v>0</v>
      </c>
      <c r="N123" s="1398">
        <f t="shared" si="77"/>
        <v>0</v>
      </c>
      <c r="O123" s="1398">
        <f t="shared" si="77"/>
        <v>0</v>
      </c>
      <c r="P123" s="1398">
        <f>+P124+P125</f>
        <v>76.176400000000001</v>
      </c>
      <c r="Q123" s="1398">
        <f t="shared" si="77"/>
        <v>0</v>
      </c>
      <c r="R123" s="1398">
        <f t="shared" si="77"/>
        <v>23.823599999999992</v>
      </c>
      <c r="S123" s="1398">
        <f t="shared" si="77"/>
        <v>23.823599999999992</v>
      </c>
      <c r="T123" s="1398">
        <f t="shared" si="77"/>
        <v>0</v>
      </c>
    </row>
    <row r="124" spans="1:20" s="1401" customFormat="1" ht="12">
      <c r="A124" s="1395" t="s">
        <v>106</v>
      </c>
      <c r="B124" s="1458" t="s">
        <v>551</v>
      </c>
      <c r="C124" s="1397">
        <f>+D124+H124</f>
        <v>96.8</v>
      </c>
      <c r="D124" s="1398">
        <f>SUM(E124:G124)</f>
        <v>40</v>
      </c>
      <c r="E124" s="1398">
        <v>40</v>
      </c>
      <c r="F124" s="1398"/>
      <c r="G124" s="1398"/>
      <c r="H124" s="1397">
        <f t="shared" si="59"/>
        <v>56.8</v>
      </c>
      <c r="I124" s="1399"/>
      <c r="J124" s="1399">
        <v>56.8</v>
      </c>
      <c r="K124" s="1399"/>
      <c r="L124" s="1399"/>
      <c r="M124" s="1399"/>
      <c r="N124" s="1399"/>
      <c r="O124" s="1399"/>
      <c r="P124" s="1397">
        <v>74.376400000000004</v>
      </c>
      <c r="Q124" s="1397"/>
      <c r="R124" s="1397">
        <f>+C124-P124-Q124</f>
        <v>22.423599999999993</v>
      </c>
      <c r="S124" s="1397">
        <f>+R124</f>
        <v>22.423599999999993</v>
      </c>
      <c r="T124" s="1397"/>
    </row>
    <row r="125" spans="1:20" s="1401" customFormat="1" ht="12">
      <c r="A125" s="1395" t="s">
        <v>106</v>
      </c>
      <c r="B125" s="1458" t="s">
        <v>560</v>
      </c>
      <c r="C125" s="1397">
        <f>+D125+H125</f>
        <v>3.2</v>
      </c>
      <c r="D125" s="1398"/>
      <c r="E125" s="1398"/>
      <c r="F125" s="1398"/>
      <c r="G125" s="1398"/>
      <c r="H125" s="1397">
        <f t="shared" si="59"/>
        <v>3.2</v>
      </c>
      <c r="I125" s="1399"/>
      <c r="J125" s="1399">
        <v>3.2</v>
      </c>
      <c r="K125" s="1399"/>
      <c r="L125" s="1399"/>
      <c r="M125" s="1399"/>
      <c r="N125" s="1399"/>
      <c r="O125" s="1399"/>
      <c r="P125" s="1397">
        <v>1.8</v>
      </c>
      <c r="Q125" s="1397"/>
      <c r="R125" s="1397">
        <f>+C125-P125-Q125</f>
        <v>1.4000000000000001</v>
      </c>
      <c r="S125" s="1397">
        <v>1.4</v>
      </c>
      <c r="T125" s="1397"/>
    </row>
    <row r="126" spans="1:20" s="1462" customFormat="1" ht="48">
      <c r="A126" s="1465" t="s">
        <v>50</v>
      </c>
      <c r="B126" s="1466" t="s">
        <v>573</v>
      </c>
      <c r="C126" s="1425">
        <f>+C127+C128</f>
        <v>30</v>
      </c>
      <c r="D126" s="1425"/>
      <c r="E126" s="1425"/>
      <c r="F126" s="1425">
        <f t="shared" ref="F126:T126" si="78">+F127+F128</f>
        <v>0</v>
      </c>
      <c r="G126" s="1425">
        <f t="shared" si="78"/>
        <v>0</v>
      </c>
      <c r="H126" s="1425">
        <f t="shared" si="59"/>
        <v>30</v>
      </c>
      <c r="I126" s="1425">
        <f t="shared" si="78"/>
        <v>0</v>
      </c>
      <c r="J126" s="1425">
        <f t="shared" si="78"/>
        <v>30</v>
      </c>
      <c r="K126" s="1425">
        <f t="shared" si="78"/>
        <v>0</v>
      </c>
      <c r="L126" s="1425">
        <f t="shared" si="78"/>
        <v>0</v>
      </c>
      <c r="M126" s="1425">
        <f t="shared" si="78"/>
        <v>0</v>
      </c>
      <c r="N126" s="1425">
        <f t="shared" si="78"/>
        <v>0</v>
      </c>
      <c r="O126" s="1425">
        <f t="shared" si="78"/>
        <v>0</v>
      </c>
      <c r="P126" s="1425">
        <f>+P127+P128</f>
        <v>30</v>
      </c>
      <c r="Q126" s="1425">
        <f t="shared" si="78"/>
        <v>0</v>
      </c>
      <c r="R126" s="1425">
        <f t="shared" si="78"/>
        <v>0</v>
      </c>
      <c r="S126" s="1425">
        <f t="shared" si="78"/>
        <v>0</v>
      </c>
      <c r="T126" s="1425">
        <f t="shared" si="78"/>
        <v>0</v>
      </c>
    </row>
    <row r="127" spans="1:20" s="1401" customFormat="1" ht="12">
      <c r="A127" s="1395" t="s">
        <v>106</v>
      </c>
      <c r="B127" s="1458" t="s">
        <v>551</v>
      </c>
      <c r="C127" s="1397">
        <f>+D127+H127</f>
        <v>28.36</v>
      </c>
      <c r="D127" s="1398"/>
      <c r="E127" s="1398"/>
      <c r="F127" s="1398"/>
      <c r="G127" s="1398"/>
      <c r="H127" s="1397">
        <f t="shared" si="59"/>
        <v>28.36</v>
      </c>
      <c r="I127" s="1399"/>
      <c r="J127" s="1399">
        <v>28.36</v>
      </c>
      <c r="K127" s="1399"/>
      <c r="L127" s="1399"/>
      <c r="M127" s="1399"/>
      <c r="N127" s="1399"/>
      <c r="O127" s="1399"/>
      <c r="P127" s="1397">
        <v>28.36</v>
      </c>
      <c r="Q127" s="1397"/>
      <c r="R127" s="1397">
        <f>+C127-P127-Q127</f>
        <v>0</v>
      </c>
      <c r="S127" s="1397">
        <f>+R127</f>
        <v>0</v>
      </c>
      <c r="T127" s="1397"/>
    </row>
    <row r="128" spans="1:20" s="1401" customFormat="1" ht="12">
      <c r="A128" s="1395" t="s">
        <v>106</v>
      </c>
      <c r="B128" s="1458" t="s">
        <v>560</v>
      </c>
      <c r="C128" s="1397">
        <f>+D128+H128</f>
        <v>1.64</v>
      </c>
      <c r="D128" s="1398"/>
      <c r="E128" s="1398"/>
      <c r="F128" s="1398"/>
      <c r="G128" s="1398"/>
      <c r="H128" s="1397">
        <f t="shared" si="59"/>
        <v>1.64</v>
      </c>
      <c r="I128" s="1399"/>
      <c r="J128" s="1399">
        <v>1.64</v>
      </c>
      <c r="K128" s="1399"/>
      <c r="L128" s="1399"/>
      <c r="M128" s="1399"/>
      <c r="N128" s="1399"/>
      <c r="O128" s="1399"/>
      <c r="P128" s="1397">
        <f>+J128</f>
        <v>1.64</v>
      </c>
      <c r="Q128" s="1397">
        <f>+G128</f>
        <v>0</v>
      </c>
      <c r="R128" s="1397">
        <f>+C128-P128-Q128</f>
        <v>0</v>
      </c>
      <c r="S128" s="1397">
        <f>+R128</f>
        <v>0</v>
      </c>
      <c r="T128" s="1397"/>
    </row>
    <row r="129" spans="1:20" s="1401" customFormat="1" ht="48">
      <c r="A129" s="1395" t="s">
        <v>51</v>
      </c>
      <c r="B129" s="1396" t="s">
        <v>574</v>
      </c>
      <c r="C129" s="1397">
        <f>SUM(C130:C131)</f>
        <v>0</v>
      </c>
      <c r="D129" s="1397"/>
      <c r="E129" s="1397"/>
      <c r="F129" s="1397">
        <f t="shared" ref="F129:T129" si="79">SUM(F130:F131)</f>
        <v>0</v>
      </c>
      <c r="G129" s="1397">
        <f t="shared" si="79"/>
        <v>0</v>
      </c>
      <c r="H129" s="1397">
        <f t="shared" si="59"/>
        <v>0</v>
      </c>
      <c r="I129" s="1397">
        <f t="shared" si="79"/>
        <v>0</v>
      </c>
      <c r="J129" s="1397">
        <f t="shared" si="79"/>
        <v>0</v>
      </c>
      <c r="K129" s="1397">
        <f t="shared" si="79"/>
        <v>0</v>
      </c>
      <c r="L129" s="1397">
        <f t="shared" si="79"/>
        <v>0</v>
      </c>
      <c r="M129" s="1397">
        <f t="shared" si="79"/>
        <v>0</v>
      </c>
      <c r="N129" s="1397">
        <f t="shared" si="79"/>
        <v>0</v>
      </c>
      <c r="O129" s="1397">
        <f t="shared" si="79"/>
        <v>0</v>
      </c>
      <c r="P129" s="1397">
        <f t="shared" si="79"/>
        <v>0</v>
      </c>
      <c r="Q129" s="1397">
        <f t="shared" si="79"/>
        <v>0</v>
      </c>
      <c r="R129" s="1397">
        <f t="shared" si="79"/>
        <v>0</v>
      </c>
      <c r="S129" s="1397">
        <f t="shared" si="79"/>
        <v>0</v>
      </c>
      <c r="T129" s="1397">
        <f t="shared" si="79"/>
        <v>0</v>
      </c>
    </row>
    <row r="130" spans="1:20" s="1401" customFormat="1" ht="12">
      <c r="A130" s="1395" t="s">
        <v>106</v>
      </c>
      <c r="B130" s="1396" t="s">
        <v>551</v>
      </c>
      <c r="C130" s="1397">
        <f t="shared" ref="C130:C137" si="80">+D130+H130</f>
        <v>0</v>
      </c>
      <c r="D130" s="1398"/>
      <c r="E130" s="1398"/>
      <c r="F130" s="1398"/>
      <c r="G130" s="1398"/>
      <c r="H130" s="1397">
        <f t="shared" si="59"/>
        <v>0</v>
      </c>
      <c r="I130" s="1399"/>
      <c r="J130" s="1399"/>
      <c r="K130" s="1399"/>
      <c r="L130" s="1399"/>
      <c r="M130" s="1399"/>
      <c r="N130" s="1399"/>
      <c r="O130" s="1399"/>
      <c r="P130" s="1397"/>
      <c r="Q130" s="1397"/>
      <c r="R130" s="1397">
        <f>+C130-P130-Q130</f>
        <v>0</v>
      </c>
      <c r="S130" s="1397"/>
      <c r="T130" s="1397"/>
    </row>
    <row r="131" spans="1:20" s="1401" customFormat="1" ht="12">
      <c r="A131" s="1395" t="s">
        <v>106</v>
      </c>
      <c r="B131" s="1396" t="s">
        <v>560</v>
      </c>
      <c r="C131" s="1397">
        <f t="shared" si="80"/>
        <v>0</v>
      </c>
      <c r="D131" s="1398"/>
      <c r="E131" s="1398"/>
      <c r="F131" s="1398"/>
      <c r="G131" s="1398">
        <v>0</v>
      </c>
      <c r="H131" s="1397">
        <f t="shared" si="59"/>
        <v>0</v>
      </c>
      <c r="I131" s="1399"/>
      <c r="J131" s="1399"/>
      <c r="K131" s="1399"/>
      <c r="L131" s="1399"/>
      <c r="M131" s="1399"/>
      <c r="N131" s="1399"/>
      <c r="O131" s="1399"/>
      <c r="P131" s="1397"/>
      <c r="Q131" s="1397"/>
      <c r="R131" s="1397">
        <f>+C131-P131-Q131</f>
        <v>0</v>
      </c>
      <c r="S131" s="1397">
        <v>0</v>
      </c>
      <c r="T131" s="1397">
        <f>+C131-P131</f>
        <v>0</v>
      </c>
    </row>
    <row r="132" spans="1:20" s="1462" customFormat="1" ht="36">
      <c r="A132" s="1465" t="s">
        <v>52</v>
      </c>
      <c r="B132" s="1466" t="s">
        <v>575</v>
      </c>
      <c r="C132" s="1425">
        <f t="shared" si="80"/>
        <v>383.68903999999998</v>
      </c>
      <c r="D132" s="1429">
        <f>SUM(D133:D134)</f>
        <v>158.68903999999998</v>
      </c>
      <c r="E132" s="1429">
        <f t="shared" ref="E132:T132" si="81">SUM(E133:E134)</f>
        <v>158.68903999999998</v>
      </c>
      <c r="F132" s="1429">
        <f t="shared" si="81"/>
        <v>0</v>
      </c>
      <c r="G132" s="1429">
        <f t="shared" si="81"/>
        <v>0</v>
      </c>
      <c r="H132" s="1425">
        <f t="shared" si="59"/>
        <v>225</v>
      </c>
      <c r="I132" s="1429">
        <f t="shared" si="81"/>
        <v>0</v>
      </c>
      <c r="J132" s="1429">
        <f t="shared" si="81"/>
        <v>225</v>
      </c>
      <c r="K132" s="1429">
        <f t="shared" si="81"/>
        <v>0</v>
      </c>
      <c r="L132" s="1429">
        <f t="shared" si="81"/>
        <v>0</v>
      </c>
      <c r="M132" s="1429">
        <f t="shared" si="81"/>
        <v>0</v>
      </c>
      <c r="N132" s="1429">
        <f t="shared" si="81"/>
        <v>0</v>
      </c>
      <c r="O132" s="1429">
        <f t="shared" si="81"/>
        <v>0</v>
      </c>
      <c r="P132" s="1429">
        <f>SUM(P133:P134)</f>
        <v>383.68903999999998</v>
      </c>
      <c r="Q132" s="1429">
        <f t="shared" si="81"/>
        <v>0</v>
      </c>
      <c r="R132" s="1429">
        <f>SUM(R133:R134)</f>
        <v>0</v>
      </c>
      <c r="S132" s="1429">
        <f t="shared" si="81"/>
        <v>0</v>
      </c>
      <c r="T132" s="1429">
        <f t="shared" si="81"/>
        <v>0</v>
      </c>
    </row>
    <row r="133" spans="1:20" s="1401" customFormat="1" ht="12">
      <c r="A133" s="1395" t="s">
        <v>106</v>
      </c>
      <c r="B133" s="1458" t="s">
        <v>551</v>
      </c>
      <c r="C133" s="1397">
        <f t="shared" si="80"/>
        <v>370.39</v>
      </c>
      <c r="D133" s="1398">
        <f>SUM(E133:G133)</f>
        <v>158.19999999999999</v>
      </c>
      <c r="E133" s="1398">
        <v>158.19999999999999</v>
      </c>
      <c r="F133" s="1398"/>
      <c r="G133" s="1398"/>
      <c r="H133" s="1397">
        <f t="shared" si="59"/>
        <v>212.19</v>
      </c>
      <c r="I133" s="1399"/>
      <c r="J133" s="1399">
        <v>212.19</v>
      </c>
      <c r="K133" s="1399"/>
      <c r="L133" s="1399"/>
      <c r="M133" s="1399"/>
      <c r="N133" s="1399"/>
      <c r="O133" s="1399"/>
      <c r="P133" s="1397">
        <v>370.39</v>
      </c>
      <c r="Q133" s="1397"/>
      <c r="R133" s="1397">
        <f>+C133-P133-Q133</f>
        <v>0</v>
      </c>
      <c r="S133" s="1397">
        <f>+R133</f>
        <v>0</v>
      </c>
      <c r="T133" s="1397"/>
    </row>
    <row r="134" spans="1:20" s="1401" customFormat="1" ht="12">
      <c r="A134" s="1395" t="s">
        <v>106</v>
      </c>
      <c r="B134" s="1458" t="s">
        <v>560</v>
      </c>
      <c r="C134" s="1397">
        <f t="shared" si="80"/>
        <v>13.29904</v>
      </c>
      <c r="D134" s="1398">
        <f>SUM(E134:G134)</f>
        <v>0.48903999999999997</v>
      </c>
      <c r="E134" s="1398">
        <v>0.48903999999999997</v>
      </c>
      <c r="F134" s="1398"/>
      <c r="G134" s="1398"/>
      <c r="H134" s="1397">
        <f t="shared" si="59"/>
        <v>12.81</v>
      </c>
      <c r="I134" s="1399"/>
      <c r="J134" s="1399">
        <v>12.81</v>
      </c>
      <c r="K134" s="1399"/>
      <c r="L134" s="1399"/>
      <c r="M134" s="1399"/>
      <c r="N134" s="1399"/>
      <c r="O134" s="1399"/>
      <c r="P134" s="1397">
        <v>13.29904</v>
      </c>
      <c r="Q134" s="1397"/>
      <c r="R134" s="1397">
        <f>+C134-P134-Q134</f>
        <v>0</v>
      </c>
      <c r="S134" s="1397">
        <f>+R134</f>
        <v>0</v>
      </c>
      <c r="T134" s="1397"/>
    </row>
    <row r="135" spans="1:20" s="1462" customFormat="1" ht="36">
      <c r="A135" s="1465" t="s">
        <v>53</v>
      </c>
      <c r="B135" s="1466" t="s">
        <v>576</v>
      </c>
      <c r="C135" s="1425">
        <f t="shared" si="80"/>
        <v>60</v>
      </c>
      <c r="D135" s="1429"/>
      <c r="E135" s="1429"/>
      <c r="F135" s="1429">
        <f t="shared" ref="F135:T135" si="82">SUM(F136:F137)</f>
        <v>0</v>
      </c>
      <c r="G135" s="1429">
        <f t="shared" si="82"/>
        <v>0</v>
      </c>
      <c r="H135" s="1425">
        <f t="shared" si="59"/>
        <v>60</v>
      </c>
      <c r="I135" s="1429">
        <f t="shared" si="82"/>
        <v>0</v>
      </c>
      <c r="J135" s="1429">
        <f t="shared" si="82"/>
        <v>60</v>
      </c>
      <c r="K135" s="1429">
        <f t="shared" si="82"/>
        <v>0</v>
      </c>
      <c r="L135" s="1429">
        <f t="shared" si="82"/>
        <v>0</v>
      </c>
      <c r="M135" s="1429">
        <f t="shared" si="82"/>
        <v>0</v>
      </c>
      <c r="N135" s="1429">
        <f t="shared" si="82"/>
        <v>0</v>
      </c>
      <c r="O135" s="1429">
        <f t="shared" si="82"/>
        <v>0</v>
      </c>
      <c r="P135" s="1429">
        <f t="shared" si="82"/>
        <v>60</v>
      </c>
      <c r="Q135" s="1429">
        <f t="shared" si="82"/>
        <v>0</v>
      </c>
      <c r="R135" s="1429">
        <f t="shared" si="82"/>
        <v>0</v>
      </c>
      <c r="S135" s="1429">
        <f t="shared" si="82"/>
        <v>0</v>
      </c>
      <c r="T135" s="1429">
        <f t="shared" si="82"/>
        <v>0</v>
      </c>
    </row>
    <row r="136" spans="1:20" s="1401" customFormat="1" ht="12">
      <c r="A136" s="1395" t="s">
        <v>106</v>
      </c>
      <c r="B136" s="1458" t="s">
        <v>551</v>
      </c>
      <c r="C136" s="1397">
        <f t="shared" si="80"/>
        <v>56.72</v>
      </c>
      <c r="D136" s="1398"/>
      <c r="E136" s="1398"/>
      <c r="F136" s="1398"/>
      <c r="G136" s="1398"/>
      <c r="H136" s="1397">
        <f t="shared" si="59"/>
        <v>56.72</v>
      </c>
      <c r="I136" s="1399"/>
      <c r="J136" s="1399">
        <v>56.72</v>
      </c>
      <c r="K136" s="1399"/>
      <c r="L136" s="1399"/>
      <c r="M136" s="1399"/>
      <c r="N136" s="1399"/>
      <c r="O136" s="1399"/>
      <c r="P136" s="1397">
        <v>56.72</v>
      </c>
      <c r="Q136" s="1397"/>
      <c r="R136" s="1397">
        <f>+C136-P136-Q136</f>
        <v>0</v>
      </c>
      <c r="S136" s="1397">
        <f>+R136</f>
        <v>0</v>
      </c>
      <c r="T136" s="1397"/>
    </row>
    <row r="137" spans="1:20" s="1401" customFormat="1" ht="12">
      <c r="A137" s="1395" t="s">
        <v>106</v>
      </c>
      <c r="B137" s="1458" t="s">
        <v>560</v>
      </c>
      <c r="C137" s="1397">
        <f t="shared" si="80"/>
        <v>3.28</v>
      </c>
      <c r="D137" s="1398"/>
      <c r="E137" s="1398"/>
      <c r="F137" s="1398"/>
      <c r="G137" s="1398"/>
      <c r="H137" s="1397">
        <f t="shared" si="59"/>
        <v>3.28</v>
      </c>
      <c r="I137" s="1399"/>
      <c r="J137" s="1399">
        <v>3.28</v>
      </c>
      <c r="K137" s="1399"/>
      <c r="L137" s="1399"/>
      <c r="M137" s="1399"/>
      <c r="N137" s="1399"/>
      <c r="O137" s="1399"/>
      <c r="P137" s="1397">
        <v>3.28</v>
      </c>
      <c r="Q137" s="1397"/>
      <c r="R137" s="1397">
        <f>+C137-P137-Q137</f>
        <v>0</v>
      </c>
      <c r="S137" s="1397">
        <f>+R137</f>
        <v>0</v>
      </c>
      <c r="T137" s="1397"/>
    </row>
    <row r="138" spans="1:20" s="1462" customFormat="1" ht="60">
      <c r="A138" s="1465" t="s">
        <v>54</v>
      </c>
      <c r="B138" s="1466" t="s">
        <v>577</v>
      </c>
      <c r="C138" s="1425">
        <f>+C139+C142+C145+0.3</f>
        <v>145.30000000000001</v>
      </c>
      <c r="D138" s="1425">
        <f>+E138</f>
        <v>0.3</v>
      </c>
      <c r="E138" s="1425">
        <f>+E139+E142+E145+0.3</f>
        <v>0.3</v>
      </c>
      <c r="F138" s="1425">
        <f t="shared" ref="F138:R138" si="83">+F139+F142+F145</f>
        <v>0</v>
      </c>
      <c r="G138" s="1425">
        <f t="shared" si="83"/>
        <v>0</v>
      </c>
      <c r="H138" s="1425">
        <f t="shared" si="83"/>
        <v>145</v>
      </c>
      <c r="I138" s="1425">
        <f t="shared" si="83"/>
        <v>0</v>
      </c>
      <c r="J138" s="1425">
        <f t="shared" si="83"/>
        <v>145</v>
      </c>
      <c r="K138" s="1425">
        <f t="shared" si="83"/>
        <v>0</v>
      </c>
      <c r="L138" s="1425">
        <f t="shared" si="83"/>
        <v>0</v>
      </c>
      <c r="M138" s="1425">
        <f t="shared" si="83"/>
        <v>0</v>
      </c>
      <c r="N138" s="1425">
        <f t="shared" si="83"/>
        <v>0</v>
      </c>
      <c r="O138" s="1425">
        <f t="shared" si="83"/>
        <v>0</v>
      </c>
      <c r="P138" s="1425">
        <f>+P139+P142+P145</f>
        <v>112.68300000000001</v>
      </c>
      <c r="Q138" s="1425">
        <v>0.3</v>
      </c>
      <c r="R138" s="1425">
        <f t="shared" si="83"/>
        <v>32.317</v>
      </c>
      <c r="S138" s="1425">
        <f>+S139+S142+S145</f>
        <v>32.317</v>
      </c>
      <c r="T138" s="1425">
        <f>+T139+T142+T145</f>
        <v>0</v>
      </c>
    </row>
    <row r="139" spans="1:20" s="1401" customFormat="1" ht="132">
      <c r="A139" s="1395" t="s">
        <v>579</v>
      </c>
      <c r="B139" s="1412" t="s">
        <v>578</v>
      </c>
      <c r="C139" s="1397">
        <f>SUM(C140:C141)</f>
        <v>105</v>
      </c>
      <c r="D139" s="1398"/>
      <c r="E139" s="1398"/>
      <c r="F139" s="1398">
        <f t="shared" ref="F139:T139" si="84">SUM(F140:F141)</f>
        <v>0</v>
      </c>
      <c r="G139" s="1398">
        <f t="shared" si="84"/>
        <v>0</v>
      </c>
      <c r="H139" s="1397">
        <f>+I139+J139+K139+L139+M139-N139-O139</f>
        <v>105</v>
      </c>
      <c r="I139" s="1398">
        <f t="shared" si="84"/>
        <v>0</v>
      </c>
      <c r="J139" s="1398">
        <f t="shared" si="84"/>
        <v>105</v>
      </c>
      <c r="K139" s="1398">
        <f t="shared" si="84"/>
        <v>0</v>
      </c>
      <c r="L139" s="1398">
        <f t="shared" si="84"/>
        <v>0</v>
      </c>
      <c r="M139" s="1398">
        <f t="shared" si="84"/>
        <v>0</v>
      </c>
      <c r="N139" s="1398">
        <f t="shared" si="84"/>
        <v>0</v>
      </c>
      <c r="O139" s="1398">
        <f t="shared" si="84"/>
        <v>0</v>
      </c>
      <c r="P139" s="1398">
        <f>+P140+P141</f>
        <v>91.3</v>
      </c>
      <c r="Q139" s="1398">
        <f t="shared" si="84"/>
        <v>0</v>
      </c>
      <c r="R139" s="1398">
        <f t="shared" si="84"/>
        <v>13.700000000000003</v>
      </c>
      <c r="S139" s="1398">
        <f t="shared" si="84"/>
        <v>13.700000000000003</v>
      </c>
      <c r="T139" s="1398">
        <f t="shared" si="84"/>
        <v>0</v>
      </c>
    </row>
    <row r="140" spans="1:20" s="1401" customFormat="1" ht="12">
      <c r="A140" s="1395" t="s">
        <v>106</v>
      </c>
      <c r="B140" s="1458" t="s">
        <v>551</v>
      </c>
      <c r="C140" s="1397">
        <f>+D140+H140</f>
        <v>99.28</v>
      </c>
      <c r="D140" s="1398"/>
      <c r="E140" s="1398"/>
      <c r="F140" s="1398"/>
      <c r="G140" s="1398"/>
      <c r="H140" s="1397">
        <f>+I140+J140+K140+L140+M140-N140-O140</f>
        <v>99.28</v>
      </c>
      <c r="I140" s="1399"/>
      <c r="J140" s="1399">
        <v>99.28</v>
      </c>
      <c r="K140" s="1399"/>
      <c r="L140" s="1399"/>
      <c r="M140" s="1399"/>
      <c r="N140" s="1399"/>
      <c r="O140" s="1399"/>
      <c r="P140" s="1397">
        <v>85.58</v>
      </c>
      <c r="Q140" s="1397"/>
      <c r="R140" s="1397">
        <f>+C140-P140-Q140</f>
        <v>13.700000000000003</v>
      </c>
      <c r="S140" s="1397">
        <f>R140</f>
        <v>13.700000000000003</v>
      </c>
      <c r="T140" s="1397"/>
    </row>
    <row r="141" spans="1:20" s="1401" customFormat="1" ht="12">
      <c r="A141" s="1395" t="s">
        <v>106</v>
      </c>
      <c r="B141" s="1458" t="s">
        <v>560</v>
      </c>
      <c r="C141" s="1397">
        <f>+D141+H141</f>
        <v>5.72</v>
      </c>
      <c r="D141" s="1398"/>
      <c r="E141" s="1398"/>
      <c r="F141" s="1398"/>
      <c r="G141" s="1398"/>
      <c r="H141" s="1397">
        <f>+I141+J141+K141+L141+M141-N141-O141</f>
        <v>5.72</v>
      </c>
      <c r="I141" s="1399"/>
      <c r="J141" s="1399">
        <v>5.72</v>
      </c>
      <c r="K141" s="1399"/>
      <c r="L141" s="1399"/>
      <c r="M141" s="1399"/>
      <c r="N141" s="1399"/>
      <c r="O141" s="1399"/>
      <c r="P141" s="1397">
        <v>5.72</v>
      </c>
      <c r="Q141" s="1397"/>
      <c r="R141" s="1397">
        <f>+C141-P141-Q141</f>
        <v>0</v>
      </c>
      <c r="S141" s="1397">
        <v>0</v>
      </c>
      <c r="T141" s="1397"/>
    </row>
    <row r="142" spans="1:20" s="1401" customFormat="1" ht="60">
      <c r="A142" s="1395" t="s">
        <v>581</v>
      </c>
      <c r="B142" s="1412" t="s">
        <v>580</v>
      </c>
      <c r="C142" s="1398">
        <f>C143+C144</f>
        <v>20</v>
      </c>
      <c r="D142" s="1398"/>
      <c r="E142" s="1398"/>
      <c r="F142" s="1398">
        <f t="shared" ref="F142:S142" si="85">F143+F144</f>
        <v>0</v>
      </c>
      <c r="G142" s="1398">
        <f t="shared" si="85"/>
        <v>0</v>
      </c>
      <c r="H142" s="1397">
        <f t="shared" si="59"/>
        <v>20</v>
      </c>
      <c r="I142" s="1398">
        <f t="shared" si="85"/>
        <v>0</v>
      </c>
      <c r="J142" s="1398">
        <f t="shared" si="85"/>
        <v>20</v>
      </c>
      <c r="K142" s="1398">
        <f t="shared" si="85"/>
        <v>0</v>
      </c>
      <c r="L142" s="1398">
        <f t="shared" si="85"/>
        <v>0</v>
      </c>
      <c r="M142" s="1398">
        <f t="shared" si="85"/>
        <v>0</v>
      </c>
      <c r="N142" s="1398">
        <f t="shared" si="85"/>
        <v>0</v>
      </c>
      <c r="O142" s="1398">
        <f t="shared" si="85"/>
        <v>0</v>
      </c>
      <c r="P142" s="1398">
        <f>P143+P144</f>
        <v>16.400000000000002</v>
      </c>
      <c r="Q142" s="1398">
        <f t="shared" si="85"/>
        <v>0</v>
      </c>
      <c r="R142" s="1398">
        <f t="shared" si="85"/>
        <v>3.5999999999999979</v>
      </c>
      <c r="S142" s="1398">
        <f t="shared" si="85"/>
        <v>3.5999999999999979</v>
      </c>
      <c r="T142" s="1398"/>
    </row>
    <row r="143" spans="1:20" s="1401" customFormat="1" ht="12">
      <c r="A143" s="1395" t="s">
        <v>106</v>
      </c>
      <c r="B143" s="1458" t="s">
        <v>551</v>
      </c>
      <c r="C143" s="1397">
        <f>+D143+H143</f>
        <v>18.899999999999999</v>
      </c>
      <c r="D143" s="1398"/>
      <c r="E143" s="1398"/>
      <c r="F143" s="1398"/>
      <c r="G143" s="1398"/>
      <c r="H143" s="1397">
        <f t="shared" si="59"/>
        <v>18.899999999999999</v>
      </c>
      <c r="I143" s="1399"/>
      <c r="J143" s="1399">
        <v>18.899999999999999</v>
      </c>
      <c r="K143" s="1399"/>
      <c r="L143" s="1399"/>
      <c r="M143" s="1399"/>
      <c r="N143" s="1399"/>
      <c r="O143" s="1399"/>
      <c r="P143" s="1397">
        <v>15.3</v>
      </c>
      <c r="Q143" s="1397"/>
      <c r="R143" s="1397">
        <f>+C143-P143-Q143</f>
        <v>3.5999999999999979</v>
      </c>
      <c r="S143" s="1397">
        <f>R143</f>
        <v>3.5999999999999979</v>
      </c>
      <c r="T143" s="1397"/>
    </row>
    <row r="144" spans="1:20" s="1401" customFormat="1" ht="12">
      <c r="A144" s="1395" t="s">
        <v>106</v>
      </c>
      <c r="B144" s="1458" t="s">
        <v>560</v>
      </c>
      <c r="C144" s="1397">
        <f>+D144+H144</f>
        <v>1.1000000000000001</v>
      </c>
      <c r="D144" s="1398"/>
      <c r="E144" s="1398"/>
      <c r="F144" s="1398"/>
      <c r="G144" s="1398"/>
      <c r="H144" s="1397">
        <f t="shared" si="59"/>
        <v>1.1000000000000001</v>
      </c>
      <c r="I144" s="1399"/>
      <c r="J144" s="1399">
        <v>1.1000000000000001</v>
      </c>
      <c r="K144" s="1399"/>
      <c r="L144" s="1399"/>
      <c r="M144" s="1399"/>
      <c r="N144" s="1399"/>
      <c r="O144" s="1399"/>
      <c r="P144" s="1397">
        <v>1.1000000000000001</v>
      </c>
      <c r="Q144" s="1397"/>
      <c r="R144" s="1397">
        <f>+C144-P144-Q144</f>
        <v>0</v>
      </c>
      <c r="S144" s="1397">
        <v>0</v>
      </c>
      <c r="T144" s="1397"/>
    </row>
    <row r="145" spans="1:20" s="1401" customFormat="1" ht="36">
      <c r="A145" s="1395" t="s">
        <v>582</v>
      </c>
      <c r="B145" s="1412" t="s">
        <v>583</v>
      </c>
      <c r="C145" s="1397">
        <f>SUM(C146:C147)</f>
        <v>20</v>
      </c>
      <c r="D145" s="1398"/>
      <c r="E145" s="1398"/>
      <c r="F145" s="1398">
        <f t="shared" ref="F145:R145" si="86">SUM(F146:F147)</f>
        <v>0</v>
      </c>
      <c r="G145" s="1398">
        <f t="shared" si="86"/>
        <v>0</v>
      </c>
      <c r="H145" s="1397">
        <f t="shared" si="59"/>
        <v>20</v>
      </c>
      <c r="I145" s="1398">
        <f t="shared" si="86"/>
        <v>0</v>
      </c>
      <c r="J145" s="1398">
        <f t="shared" si="86"/>
        <v>20</v>
      </c>
      <c r="K145" s="1398">
        <f t="shared" si="86"/>
        <v>0</v>
      </c>
      <c r="L145" s="1398">
        <f t="shared" si="86"/>
        <v>0</v>
      </c>
      <c r="M145" s="1398">
        <f t="shared" si="86"/>
        <v>0</v>
      </c>
      <c r="N145" s="1398">
        <f t="shared" si="86"/>
        <v>0</v>
      </c>
      <c r="O145" s="1398">
        <f t="shared" si="86"/>
        <v>0</v>
      </c>
      <c r="P145" s="1398">
        <f t="shared" si="86"/>
        <v>4.9829999999999997</v>
      </c>
      <c r="Q145" s="1398">
        <f t="shared" si="86"/>
        <v>0</v>
      </c>
      <c r="R145" s="1398">
        <f t="shared" si="86"/>
        <v>15.016999999999999</v>
      </c>
      <c r="S145" s="1398">
        <f>SUM(S146:S147)</f>
        <v>15.016999999999999</v>
      </c>
      <c r="T145" s="1398"/>
    </row>
    <row r="146" spans="1:20" s="1401" customFormat="1" ht="12">
      <c r="A146" s="1395" t="s">
        <v>106</v>
      </c>
      <c r="B146" s="1396" t="s">
        <v>551</v>
      </c>
      <c r="C146" s="1397">
        <f>+D146+H146</f>
        <v>19</v>
      </c>
      <c r="D146" s="1398"/>
      <c r="E146" s="1398"/>
      <c r="F146" s="1398"/>
      <c r="G146" s="1398"/>
      <c r="H146" s="1397">
        <f t="shared" si="59"/>
        <v>19</v>
      </c>
      <c r="I146" s="1399"/>
      <c r="J146" s="1399">
        <v>19</v>
      </c>
      <c r="K146" s="1399"/>
      <c r="L146" s="1399"/>
      <c r="M146" s="1399"/>
      <c r="N146" s="1399"/>
      <c r="O146" s="1399"/>
      <c r="P146" s="1397">
        <v>4.9829999999999997</v>
      </c>
      <c r="Q146" s="1397"/>
      <c r="R146" s="1397">
        <f>+C146-P146-Q146</f>
        <v>14.016999999999999</v>
      </c>
      <c r="S146" s="1397">
        <f>+R146</f>
        <v>14.016999999999999</v>
      </c>
      <c r="T146" s="1397"/>
    </row>
    <row r="147" spans="1:20" s="1401" customFormat="1" ht="12">
      <c r="A147" s="1395" t="s">
        <v>106</v>
      </c>
      <c r="B147" s="1458" t="s">
        <v>560</v>
      </c>
      <c r="C147" s="1397">
        <f>+D147+H147</f>
        <v>1</v>
      </c>
      <c r="D147" s="1398"/>
      <c r="E147" s="1398"/>
      <c r="F147" s="1398"/>
      <c r="G147" s="1398"/>
      <c r="H147" s="1397">
        <f t="shared" si="59"/>
        <v>1</v>
      </c>
      <c r="I147" s="1399"/>
      <c r="J147" s="1399">
        <v>1</v>
      </c>
      <c r="K147" s="1399"/>
      <c r="L147" s="1399"/>
      <c r="M147" s="1399"/>
      <c r="N147" s="1399"/>
      <c r="O147" s="1399"/>
      <c r="P147" s="1397">
        <v>0</v>
      </c>
      <c r="Q147" s="1397"/>
      <c r="R147" s="1397">
        <f>+C147-P147-Q147</f>
        <v>1</v>
      </c>
      <c r="S147" s="1397">
        <f>+R147</f>
        <v>1</v>
      </c>
      <c r="T147" s="1397"/>
    </row>
    <row r="148" spans="1:20" s="1389" customFormat="1" ht="33" customHeight="1">
      <c r="A148" s="1388" t="s">
        <v>295</v>
      </c>
      <c r="B148" s="1156" t="s">
        <v>1213</v>
      </c>
      <c r="C148" s="1390">
        <f>+C149</f>
        <v>195.41669999999999</v>
      </c>
      <c r="D148" s="1390">
        <f t="shared" ref="D148:T148" si="87">+D149</f>
        <v>0</v>
      </c>
      <c r="E148" s="1390">
        <f t="shared" si="87"/>
        <v>0</v>
      </c>
      <c r="F148" s="1390">
        <f t="shared" si="87"/>
        <v>0</v>
      </c>
      <c r="G148" s="1390">
        <f t="shared" si="87"/>
        <v>0</v>
      </c>
      <c r="H148" s="1390">
        <f t="shared" si="87"/>
        <v>195.41669999999999</v>
      </c>
      <c r="I148" s="1390">
        <f t="shared" si="87"/>
        <v>0</v>
      </c>
      <c r="J148" s="1390">
        <f t="shared" si="87"/>
        <v>322</v>
      </c>
      <c r="K148" s="1390">
        <f t="shared" si="87"/>
        <v>0</v>
      </c>
      <c r="L148" s="1390">
        <f t="shared" si="87"/>
        <v>0</v>
      </c>
      <c r="M148" s="1390">
        <f t="shared" si="87"/>
        <v>0</v>
      </c>
      <c r="N148" s="1390">
        <f t="shared" si="87"/>
        <v>0</v>
      </c>
      <c r="O148" s="1390">
        <f t="shared" si="87"/>
        <v>126.58329999999999</v>
      </c>
      <c r="P148" s="1390">
        <f t="shared" si="87"/>
        <v>195.41669999999999</v>
      </c>
      <c r="Q148" s="1390">
        <f t="shared" si="87"/>
        <v>0</v>
      </c>
      <c r="R148" s="1390">
        <f t="shared" si="87"/>
        <v>0</v>
      </c>
      <c r="S148" s="1390">
        <f t="shared" si="87"/>
        <v>0</v>
      </c>
      <c r="T148" s="1390">
        <f t="shared" si="87"/>
        <v>0</v>
      </c>
    </row>
    <row r="149" spans="1:20" s="1401" customFormat="1" ht="36">
      <c r="A149" s="1395">
        <v>1</v>
      </c>
      <c r="B149" s="1458" t="s">
        <v>1187</v>
      </c>
      <c r="C149" s="1397">
        <f>+D149+H149</f>
        <v>195.41669999999999</v>
      </c>
      <c r="D149" s="1398"/>
      <c r="E149" s="1398"/>
      <c r="F149" s="1398"/>
      <c r="G149" s="1398"/>
      <c r="H149" s="1397">
        <f>+I149+J149+K149+L149+M149-N149-O149</f>
        <v>195.41669999999999</v>
      </c>
      <c r="I149" s="1399"/>
      <c r="J149" s="1399">
        <v>322</v>
      </c>
      <c r="K149" s="1399"/>
      <c r="L149" s="1399"/>
      <c r="M149" s="1399"/>
      <c r="N149" s="1399"/>
      <c r="O149" s="1397">
        <v>126.58329999999999</v>
      </c>
      <c r="P149" s="1397">
        <v>195.41669999999999</v>
      </c>
      <c r="Q149" s="1397"/>
      <c r="R149" s="1397">
        <f>+C149-P149-Q149</f>
        <v>0</v>
      </c>
      <c r="S149" s="1403">
        <v>0</v>
      </c>
      <c r="T149" s="1403">
        <f>+R149</f>
        <v>0</v>
      </c>
    </row>
    <row r="150" spans="1:20" s="1389" customFormat="1" ht="12">
      <c r="A150" s="1388" t="s">
        <v>229</v>
      </c>
      <c r="B150" s="1156" t="s">
        <v>502</v>
      </c>
      <c r="C150" s="1390">
        <f t="shared" ref="C150:P150" si="88">+C151+C157</f>
        <v>83710.550417000006</v>
      </c>
      <c r="D150" s="1390">
        <f t="shared" si="88"/>
        <v>6508.0556910000005</v>
      </c>
      <c r="E150" s="1390">
        <f t="shared" si="88"/>
        <v>6508.0556910000005</v>
      </c>
      <c r="F150" s="1390">
        <f t="shared" si="88"/>
        <v>0</v>
      </c>
      <c r="G150" s="1390">
        <f t="shared" si="88"/>
        <v>0</v>
      </c>
      <c r="H150" s="1390">
        <f t="shared" si="88"/>
        <v>77202.494726000004</v>
      </c>
      <c r="I150" s="1390">
        <f t="shared" si="88"/>
        <v>63154.803999999996</v>
      </c>
      <c r="J150" s="1390">
        <f t="shared" si="88"/>
        <v>0</v>
      </c>
      <c r="K150" s="1390">
        <f t="shared" si="88"/>
        <v>16019.746496</v>
      </c>
      <c r="L150" s="1390">
        <f t="shared" si="88"/>
        <v>1.4999999999999998</v>
      </c>
      <c r="M150" s="1390">
        <f t="shared" si="88"/>
        <v>0</v>
      </c>
      <c r="N150" s="1390">
        <f t="shared" si="88"/>
        <v>0</v>
      </c>
      <c r="O150" s="1390">
        <f t="shared" si="88"/>
        <v>1973.5557699999999</v>
      </c>
      <c r="P150" s="1390">
        <f t="shared" si="88"/>
        <v>76797.047814000005</v>
      </c>
      <c r="Q150" s="1390">
        <f t="shared" ref="Q150:T150" si="89">+Q151+Q157</f>
        <v>179.822</v>
      </c>
      <c r="R150" s="1390">
        <f t="shared" si="89"/>
        <v>6733.6806029999989</v>
      </c>
      <c r="S150" s="1390">
        <f t="shared" si="89"/>
        <v>6682.7170419999993</v>
      </c>
      <c r="T150" s="1390">
        <f t="shared" si="89"/>
        <v>50.963560999999686</v>
      </c>
    </row>
    <row r="151" spans="1:20" s="1389" customFormat="1" ht="12">
      <c r="A151" s="1388" t="s">
        <v>296</v>
      </c>
      <c r="B151" s="1156" t="s">
        <v>59</v>
      </c>
      <c r="C151" s="1390">
        <f>SUM(C152:C156)</f>
        <v>3938.2628600000003</v>
      </c>
      <c r="D151" s="1390">
        <f t="shared" ref="D151:K151" si="90">SUM(D152:D156)</f>
        <v>3678.4588600000002</v>
      </c>
      <c r="E151" s="1390">
        <f t="shared" si="90"/>
        <v>3678.4588600000002</v>
      </c>
      <c r="F151" s="1390">
        <f t="shared" si="90"/>
        <v>0</v>
      </c>
      <c r="G151" s="1390">
        <f t="shared" si="90"/>
        <v>0</v>
      </c>
      <c r="H151" s="1390">
        <f t="shared" si="90"/>
        <v>259.80400000000003</v>
      </c>
      <c r="I151" s="1390">
        <f t="shared" si="90"/>
        <v>259.80400000000003</v>
      </c>
      <c r="J151" s="1390">
        <f t="shared" si="90"/>
        <v>0</v>
      </c>
      <c r="K151" s="1390">
        <f t="shared" si="90"/>
        <v>0</v>
      </c>
      <c r="L151" s="1390">
        <f t="shared" ref="L151:T151" si="91">SUM(L152:L156)</f>
        <v>0</v>
      </c>
      <c r="M151" s="1390">
        <f t="shared" si="91"/>
        <v>0</v>
      </c>
      <c r="N151" s="1390">
        <f t="shared" si="91"/>
        <v>0</v>
      </c>
      <c r="O151" s="1390">
        <f t="shared" si="91"/>
        <v>0</v>
      </c>
      <c r="P151" s="1390">
        <f t="shared" si="91"/>
        <v>3916.7099420000004</v>
      </c>
      <c r="Q151" s="1390">
        <f t="shared" si="91"/>
        <v>0</v>
      </c>
      <c r="R151" s="1390">
        <f t="shared" si="91"/>
        <v>21.552917999999995</v>
      </c>
      <c r="S151" s="1390">
        <f t="shared" si="91"/>
        <v>0</v>
      </c>
      <c r="T151" s="1390">
        <f t="shared" si="91"/>
        <v>21.552917999999995</v>
      </c>
    </row>
    <row r="152" spans="1:20" s="1401" customFormat="1" ht="25.5" customHeight="1">
      <c r="A152" s="1395">
        <v>1</v>
      </c>
      <c r="B152" s="1458" t="s">
        <v>1161</v>
      </c>
      <c r="C152" s="1397">
        <f>+D152+H152</f>
        <v>495.80725999999999</v>
      </c>
      <c r="D152" s="1398">
        <f>SUM(E152:G152)</f>
        <v>495.80725999999999</v>
      </c>
      <c r="E152" s="1442">
        <v>495.80725999999999</v>
      </c>
      <c r="F152" s="1442"/>
      <c r="G152" s="1442"/>
      <c r="H152" s="1397">
        <f t="shared" si="59"/>
        <v>0</v>
      </c>
      <c r="I152" s="1442"/>
      <c r="J152" s="1442"/>
      <c r="K152" s="1442"/>
      <c r="L152" s="1442"/>
      <c r="M152" s="1442"/>
      <c r="N152" s="1442"/>
      <c r="O152" s="1442"/>
      <c r="P152" s="1397">
        <f>+E152</f>
        <v>495.80725999999999</v>
      </c>
      <c r="Q152" s="1397"/>
      <c r="R152" s="1397">
        <f>+C152-P152-Q152</f>
        <v>0</v>
      </c>
      <c r="S152" s="1422"/>
      <c r="T152" s="1422"/>
    </row>
    <row r="153" spans="1:20" s="1401" customFormat="1" ht="48">
      <c r="A153" s="1395">
        <v>2</v>
      </c>
      <c r="B153" s="1458" t="s">
        <v>1202</v>
      </c>
      <c r="C153" s="1397">
        <f>+D153+H153</f>
        <v>3182.6516000000001</v>
      </c>
      <c r="D153" s="1398">
        <f>SUM(E153:G153)</f>
        <v>3182.6516000000001</v>
      </c>
      <c r="E153" s="1398">
        <f>3371.742302-189.090702</f>
        <v>3182.6516000000001</v>
      </c>
      <c r="F153" s="1398"/>
      <c r="G153" s="1398"/>
      <c r="H153" s="1397">
        <f t="shared" si="59"/>
        <v>0</v>
      </c>
      <c r="I153" s="1399"/>
      <c r="J153" s="1399"/>
      <c r="K153" s="1399"/>
      <c r="L153" s="1399"/>
      <c r="M153" s="1399"/>
      <c r="N153" s="1399"/>
      <c r="O153" s="1397"/>
      <c r="P153" s="1397">
        <v>3182.6516000000001</v>
      </c>
      <c r="Q153" s="1397"/>
      <c r="R153" s="1397">
        <f>+C153-P153-Q153</f>
        <v>0</v>
      </c>
      <c r="S153" s="1403">
        <f>+R153</f>
        <v>0</v>
      </c>
      <c r="T153" s="1403"/>
    </row>
    <row r="154" spans="1:20" s="1401" customFormat="1" ht="24" customHeight="1">
      <c r="A154" s="1395">
        <v>3</v>
      </c>
      <c r="B154" s="1396" t="s">
        <v>1188</v>
      </c>
      <c r="C154" s="1397">
        <f>+D154+H154</f>
        <v>100</v>
      </c>
      <c r="D154" s="1398">
        <f>SUM(E154:G154)</f>
        <v>0</v>
      </c>
      <c r="E154" s="1398"/>
      <c r="F154" s="1398"/>
      <c r="G154" s="1398"/>
      <c r="H154" s="1397">
        <f>+I154+J154+K154+L154+M154-N154-O154</f>
        <v>100</v>
      </c>
      <c r="I154" s="1399">
        <v>100</v>
      </c>
      <c r="J154" s="1399"/>
      <c r="K154" s="1399"/>
      <c r="L154" s="1399"/>
      <c r="M154" s="1399"/>
      <c r="N154" s="1399"/>
      <c r="O154" s="1397"/>
      <c r="P154" s="1397">
        <v>78.510900000000007</v>
      </c>
      <c r="Q154" s="1397"/>
      <c r="R154" s="1397">
        <f>+C154-P154-Q154</f>
        <v>21.489099999999993</v>
      </c>
      <c r="S154" s="1403">
        <v>0</v>
      </c>
      <c r="T154" s="1403">
        <f>+R154</f>
        <v>21.489099999999993</v>
      </c>
    </row>
    <row r="155" spans="1:20" s="1401" customFormat="1" ht="27" customHeight="1">
      <c r="A155" s="1395">
        <v>4</v>
      </c>
      <c r="B155" s="1396" t="s">
        <v>1199</v>
      </c>
      <c r="C155" s="1397">
        <f>+D155+H155</f>
        <v>159.740182</v>
      </c>
      <c r="D155" s="1398"/>
      <c r="E155" s="1398"/>
      <c r="F155" s="1398"/>
      <c r="G155" s="1398"/>
      <c r="H155" s="1397">
        <f t="shared" si="59"/>
        <v>159.740182</v>
      </c>
      <c r="I155" s="1399">
        <v>159.740182</v>
      </c>
      <c r="J155" s="1399"/>
      <c r="K155" s="1399"/>
      <c r="L155" s="1399"/>
      <c r="M155" s="1399"/>
      <c r="N155" s="1399"/>
      <c r="O155" s="1399"/>
      <c r="P155" s="1397">
        <v>159.740182</v>
      </c>
      <c r="Q155" s="1397"/>
      <c r="R155" s="1397">
        <f t="shared" ref="R155" si="92">+C155-P155-Q155</f>
        <v>0</v>
      </c>
      <c r="S155" s="1403"/>
      <c r="T155" s="1403"/>
    </row>
    <row r="156" spans="1:20" s="1401" customFormat="1" ht="27" customHeight="1">
      <c r="A156" s="1395">
        <v>5</v>
      </c>
      <c r="B156" s="1396" t="s">
        <v>1198</v>
      </c>
      <c r="C156" s="1397">
        <f>+D156+H156</f>
        <v>6.3818E-2</v>
      </c>
      <c r="D156" s="1398"/>
      <c r="E156" s="1398"/>
      <c r="F156" s="1398"/>
      <c r="G156" s="1398"/>
      <c r="H156" s="1397">
        <f t="shared" si="59"/>
        <v>6.3818E-2</v>
      </c>
      <c r="I156" s="1399">
        <v>6.3818E-2</v>
      </c>
      <c r="J156" s="1399"/>
      <c r="K156" s="1399"/>
      <c r="L156" s="1399"/>
      <c r="M156" s="1399"/>
      <c r="N156" s="1399"/>
      <c r="O156" s="1399"/>
      <c r="P156" s="1397">
        <v>0</v>
      </c>
      <c r="Q156" s="1397"/>
      <c r="R156" s="1397">
        <f>+C156-P156-Q156</f>
        <v>6.3818E-2</v>
      </c>
      <c r="S156" s="1403"/>
      <c r="T156" s="1397">
        <f>+R156</f>
        <v>6.3818E-2</v>
      </c>
    </row>
    <row r="157" spans="1:20" s="1389" customFormat="1" ht="19.899999999999999" customHeight="1">
      <c r="A157" s="1388" t="s">
        <v>139</v>
      </c>
      <c r="B157" s="1156" t="s">
        <v>107</v>
      </c>
      <c r="C157" s="1434">
        <f>SUM(C158:C191)+C199+C204+C205</f>
        <v>79772.287557000003</v>
      </c>
      <c r="D157" s="1434">
        <f t="shared" ref="D157:T157" si="93">SUM(D158:D191)+D199+D204+D205</f>
        <v>2829.5968310000003</v>
      </c>
      <c r="E157" s="1434">
        <f t="shared" si="93"/>
        <v>2829.5968310000003</v>
      </c>
      <c r="F157" s="1434">
        <f t="shared" si="93"/>
        <v>0</v>
      </c>
      <c r="G157" s="1434">
        <f t="shared" si="93"/>
        <v>0</v>
      </c>
      <c r="H157" s="1434">
        <f t="shared" si="93"/>
        <v>76942.690726000001</v>
      </c>
      <c r="I157" s="1434">
        <f t="shared" si="93"/>
        <v>62895</v>
      </c>
      <c r="J157" s="1434">
        <f t="shared" si="93"/>
        <v>0</v>
      </c>
      <c r="K157" s="1434">
        <f t="shared" si="93"/>
        <v>16019.746496</v>
      </c>
      <c r="L157" s="1434">
        <f t="shared" si="93"/>
        <v>1.4999999999999998</v>
      </c>
      <c r="M157" s="1434">
        <f t="shared" si="93"/>
        <v>0</v>
      </c>
      <c r="N157" s="1434">
        <f t="shared" si="93"/>
        <v>0</v>
      </c>
      <c r="O157" s="1434">
        <f t="shared" si="93"/>
        <v>1973.5557699999999</v>
      </c>
      <c r="P157" s="1434">
        <f t="shared" si="93"/>
        <v>72880.337872000004</v>
      </c>
      <c r="Q157" s="1434">
        <f t="shared" si="93"/>
        <v>179.822</v>
      </c>
      <c r="R157" s="1434">
        <f t="shared" si="93"/>
        <v>6712.1276849999986</v>
      </c>
      <c r="S157" s="1434">
        <f t="shared" si="93"/>
        <v>6682.7170419999993</v>
      </c>
      <c r="T157" s="1434">
        <f t="shared" si="93"/>
        <v>29.410642999999695</v>
      </c>
    </row>
    <row r="158" spans="1:20" s="1738" customFormat="1" ht="30.6" customHeight="1">
      <c r="A158" s="1732">
        <v>1</v>
      </c>
      <c r="B158" s="1733" t="s">
        <v>1162</v>
      </c>
      <c r="C158" s="1734">
        <f>+D158+H158</f>
        <v>76.145248000000009</v>
      </c>
      <c r="D158" s="1735">
        <f>SUM(E158:G158)</f>
        <v>0</v>
      </c>
      <c r="E158" s="1735"/>
      <c r="F158" s="1735"/>
      <c r="G158" s="1735"/>
      <c r="H158" s="1734">
        <f t="shared" si="59"/>
        <v>76.145248000000009</v>
      </c>
      <c r="I158" s="1736">
        <v>173.8</v>
      </c>
      <c r="J158" s="1737"/>
      <c r="K158" s="1736"/>
      <c r="L158" s="1736"/>
      <c r="M158" s="1736"/>
      <c r="N158" s="1736"/>
      <c r="O158" s="1734">
        <v>97.654752000000002</v>
      </c>
      <c r="P158" s="1734">
        <f>+H158</f>
        <v>76.145248000000009</v>
      </c>
      <c r="Q158" s="1734"/>
      <c r="R158" s="1734">
        <f t="shared" ref="R158:R189" si="94">+C158-P158-Q158</f>
        <v>0</v>
      </c>
      <c r="S158" s="1734"/>
      <c r="T158" s="1734">
        <f>R158</f>
        <v>0</v>
      </c>
    </row>
    <row r="159" spans="1:20" s="1738" customFormat="1" ht="60">
      <c r="A159" s="1732">
        <v>2</v>
      </c>
      <c r="B159" s="1733" t="s">
        <v>1163</v>
      </c>
      <c r="C159" s="1734">
        <f t="shared" ref="C159:C189" si="95">+D159+H159</f>
        <v>1920.5831250000001</v>
      </c>
      <c r="D159" s="1735">
        <f t="shared" ref="D159:D189" si="96">SUM(E159:G159)</f>
        <v>0</v>
      </c>
      <c r="E159" s="1735"/>
      <c r="F159" s="1735"/>
      <c r="G159" s="1735"/>
      <c r="H159" s="1734">
        <f t="shared" si="59"/>
        <v>1920.5831250000001</v>
      </c>
      <c r="I159" s="1735">
        <v>2678</v>
      </c>
      <c r="J159" s="1737"/>
      <c r="K159" s="1735"/>
      <c r="L159" s="1735"/>
      <c r="M159" s="1735"/>
      <c r="N159" s="1735"/>
      <c r="O159" s="1734">
        <v>757.416875</v>
      </c>
      <c r="P159" s="1734">
        <v>1901.25</v>
      </c>
      <c r="Q159" s="1734"/>
      <c r="R159" s="1734">
        <f t="shared" si="94"/>
        <v>19.333125000000109</v>
      </c>
      <c r="S159" s="1734"/>
      <c r="T159" s="1734">
        <f>R159</f>
        <v>19.333125000000109</v>
      </c>
    </row>
    <row r="160" spans="1:20" s="1738" customFormat="1" ht="27.6" customHeight="1">
      <c r="A160" s="1732">
        <v>3</v>
      </c>
      <c r="B160" s="1733" t="s">
        <v>1164</v>
      </c>
      <c r="C160" s="1734">
        <f t="shared" si="95"/>
        <v>273.33179999999999</v>
      </c>
      <c r="D160" s="1735">
        <f t="shared" si="96"/>
        <v>0</v>
      </c>
      <c r="E160" s="1735"/>
      <c r="F160" s="1735"/>
      <c r="G160" s="1735"/>
      <c r="H160" s="1734">
        <f t="shared" si="59"/>
        <v>273.33179999999999</v>
      </c>
      <c r="I160" s="1736">
        <v>295.68799999999999</v>
      </c>
      <c r="J160" s="1737"/>
      <c r="K160" s="1736"/>
      <c r="L160" s="1736"/>
      <c r="M160" s="1736"/>
      <c r="N160" s="1736"/>
      <c r="O160" s="1734">
        <v>22.356200000000001</v>
      </c>
      <c r="P160" s="1734">
        <f>+'[3]RS NỘP TRẢ'!$H$264+'[3]RS NỘP TRẢ'!$H$266</f>
        <v>273.33179999999999</v>
      </c>
      <c r="Q160" s="1734"/>
      <c r="R160" s="1734">
        <f t="shared" si="94"/>
        <v>0</v>
      </c>
      <c r="S160" s="1734"/>
      <c r="T160" s="1734">
        <f>R160</f>
        <v>0</v>
      </c>
    </row>
    <row r="161" spans="1:22" s="1738" customFormat="1" ht="60">
      <c r="A161" s="1732">
        <v>4</v>
      </c>
      <c r="B161" s="1733" t="s">
        <v>1165</v>
      </c>
      <c r="C161" s="1734">
        <f t="shared" si="95"/>
        <v>95.29649999999998</v>
      </c>
      <c r="D161" s="1735">
        <f t="shared" si="96"/>
        <v>0</v>
      </c>
      <c r="E161" s="1735"/>
      <c r="F161" s="1735"/>
      <c r="G161" s="1735"/>
      <c r="H161" s="1734">
        <f t="shared" si="59"/>
        <v>95.29649999999998</v>
      </c>
      <c r="I161" s="1736">
        <v>155.69999999999999</v>
      </c>
      <c r="J161" s="1737"/>
      <c r="K161" s="1736"/>
      <c r="L161" s="1736"/>
      <c r="M161" s="1736"/>
      <c r="N161" s="1736"/>
      <c r="O161" s="1734">
        <f>59.7717+0.6318</f>
        <v>60.403500000000001</v>
      </c>
      <c r="P161" s="1734">
        <v>95.296499999999995</v>
      </c>
      <c r="Q161" s="1734"/>
      <c r="R161" s="1734">
        <f t="shared" si="94"/>
        <v>-1.4210854715202004E-14</v>
      </c>
      <c r="S161" s="1739"/>
      <c r="T161" s="1734">
        <f>+R161-S161</f>
        <v>-1.4210854715202004E-14</v>
      </c>
    </row>
    <row r="162" spans="1:22" s="1738" customFormat="1" ht="114.75" customHeight="1">
      <c r="A162" s="1732">
        <v>5</v>
      </c>
      <c r="B162" s="1733" t="s">
        <v>1441</v>
      </c>
      <c r="C162" s="1734">
        <f t="shared" si="95"/>
        <v>1243.4638</v>
      </c>
      <c r="D162" s="1735">
        <f t="shared" si="96"/>
        <v>0</v>
      </c>
      <c r="E162" s="1735"/>
      <c r="F162" s="1735"/>
      <c r="G162" s="1735"/>
      <c r="H162" s="1734">
        <f t="shared" si="59"/>
        <v>1243.4638</v>
      </c>
      <c r="I162" s="1736">
        <f>1053.9924+21.4794+0.917+173.075</f>
        <v>1249.4638</v>
      </c>
      <c r="J162" s="1742"/>
      <c r="K162" s="1736"/>
      <c r="L162" s="1736"/>
      <c r="M162" s="1736"/>
      <c r="N162" s="1736"/>
      <c r="O162" s="1734">
        <v>6</v>
      </c>
      <c r="P162" s="1734">
        <f>+'[3]RS NỘP TRẢ'!$H$224+'[3]RS NỘP TRẢ'!$H$225+'[3]RS NỘP TRẢ'!$H$210+'[3]RS NỘP TRẢ'!$H$211+'[3]RS NỘP TRẢ'!$H$195+'[3]RS NỘP TRẢ'!$H$196+'[3]RS NỘP TRẢ'!$H$181+'[3]RS NỘP TRẢ'!$H$182+'[3]RS NỘP TRẢ'!$H$167+'[3]RS NỘP TRẢ'!$H$168+'[3]RS NỘP TRẢ'!$H$152+'[3]RS NỘP TRẢ'!$H$153+173.075</f>
        <v>1242.5468000000001</v>
      </c>
      <c r="Q162" s="1734"/>
      <c r="R162" s="1734">
        <f t="shared" si="94"/>
        <v>0.91699999999991633</v>
      </c>
      <c r="S162" s="1734"/>
      <c r="T162" s="1734">
        <f>+R162-S162</f>
        <v>0.91699999999991633</v>
      </c>
      <c r="U162" s="1741">
        <f>+I162+I194</f>
        <v>1392.5450000000001</v>
      </c>
    </row>
    <row r="163" spans="1:22" s="1387" customFormat="1" ht="42.75" customHeight="1">
      <c r="A163" s="1395">
        <v>6</v>
      </c>
      <c r="B163" s="1394" t="s">
        <v>1166</v>
      </c>
      <c r="C163" s="1391">
        <f t="shared" si="95"/>
        <v>2896.517175</v>
      </c>
      <c r="D163" s="1398">
        <f t="shared" si="96"/>
        <v>0</v>
      </c>
      <c r="E163" s="1398"/>
      <c r="F163" s="1398"/>
      <c r="G163" s="1398"/>
      <c r="H163" s="1391">
        <f t="shared" si="59"/>
        <v>2896.517175</v>
      </c>
      <c r="I163" s="1392">
        <v>3071.5059999999999</v>
      </c>
      <c r="J163" s="1402"/>
      <c r="K163" s="1399"/>
      <c r="L163" s="1392"/>
      <c r="M163" s="1399"/>
      <c r="N163" s="1399"/>
      <c r="O163" s="1397">
        <v>174.98882499999999</v>
      </c>
      <c r="P163" s="1391">
        <f>+'[3]RS NỘP TRẢ'!$H$154+'[3]RS NỘP TRẢ'!$H$169+'[3]RS NỘP TRẢ'!$H$183+'[3]RS NỘP TRẢ'!$H$197+'[3]RS NỘP TRẢ'!$H$212+'[3]RS NỘP TRẢ'!$H$226</f>
        <v>2887.3566570000003</v>
      </c>
      <c r="Q163" s="1397"/>
      <c r="R163" s="1391">
        <f t="shared" si="94"/>
        <v>9.1605179999996835</v>
      </c>
      <c r="S163" s="1391"/>
      <c r="T163" s="1391">
        <f>+R163</f>
        <v>9.1605179999996835</v>
      </c>
      <c r="U163" s="1740">
        <f>+P162+R194</f>
        <v>1385.6280000000002</v>
      </c>
    </row>
    <row r="164" spans="1:22" s="1738" customFormat="1" ht="56.25" customHeight="1">
      <c r="A164" s="1732">
        <v>7</v>
      </c>
      <c r="B164" s="1733" t="s">
        <v>1167</v>
      </c>
      <c r="C164" s="1734">
        <f t="shared" si="95"/>
        <v>295.49</v>
      </c>
      <c r="D164" s="1735">
        <f t="shared" si="96"/>
        <v>0</v>
      </c>
      <c r="E164" s="1735"/>
      <c r="F164" s="1735"/>
      <c r="G164" s="1735"/>
      <c r="H164" s="1734">
        <f t="shared" si="59"/>
        <v>295.49</v>
      </c>
      <c r="I164" s="1736">
        <v>352.75</v>
      </c>
      <c r="J164" s="1737"/>
      <c r="K164" s="1736"/>
      <c r="L164" s="1736"/>
      <c r="M164" s="1736"/>
      <c r="N164" s="1736"/>
      <c r="O164" s="1734">
        <f>+I164-P164</f>
        <v>57.259999999999991</v>
      </c>
      <c r="P164" s="1734">
        <f>+'[3]RS NỘP TRẢ'!$H$198+'[3]RS NỘP TRẢ'!$H$155</f>
        <v>295.49</v>
      </c>
      <c r="Q164" s="1734"/>
      <c r="R164" s="1734">
        <f t="shared" si="94"/>
        <v>0</v>
      </c>
      <c r="S164" s="1734"/>
      <c r="T164" s="1734">
        <f>+R164</f>
        <v>0</v>
      </c>
      <c r="U164" s="1741">
        <v>184.14934300000004</v>
      </c>
      <c r="V164" s="1741"/>
    </row>
    <row r="165" spans="1:22" s="1738" customFormat="1" ht="48">
      <c r="A165" s="1732">
        <v>8</v>
      </c>
      <c r="B165" s="1733" t="s">
        <v>1168</v>
      </c>
      <c r="C165" s="1734">
        <f t="shared" si="95"/>
        <v>287.44</v>
      </c>
      <c r="D165" s="1735">
        <f t="shared" si="96"/>
        <v>0</v>
      </c>
      <c r="E165" s="1735"/>
      <c r="F165" s="1735"/>
      <c r="G165" s="1735"/>
      <c r="H165" s="1734">
        <f t="shared" si="59"/>
        <v>287.44</v>
      </c>
      <c r="I165" s="1736">
        <v>377.72</v>
      </c>
      <c r="J165" s="1736"/>
      <c r="K165" s="1736"/>
      <c r="L165" s="1736"/>
      <c r="M165" s="1736"/>
      <c r="N165" s="1736"/>
      <c r="O165" s="1734">
        <f>+I165-P165</f>
        <v>90.28000000000003</v>
      </c>
      <c r="P165" s="1734">
        <f>+'[3]RS NỘP TRẢ'!$H$185+'[3]RS NỘP TRẢ'!$H$200+'[3]RS NỘP TRẢ'!$H$214+'[3]RS NỘP TRẢ'!$H$228</f>
        <v>287.44</v>
      </c>
      <c r="Q165" s="1734"/>
      <c r="R165" s="1734">
        <f t="shared" si="94"/>
        <v>0</v>
      </c>
      <c r="S165" s="1739"/>
      <c r="T165" s="1734"/>
    </row>
    <row r="166" spans="1:22" s="1387" customFormat="1" ht="38.25" customHeight="1">
      <c r="A166" s="1395">
        <v>9</v>
      </c>
      <c r="B166" s="1394" t="s">
        <v>1197</v>
      </c>
      <c r="C166" s="1391">
        <f t="shared" si="95"/>
        <v>430.46739399999996</v>
      </c>
      <c r="D166" s="1398">
        <f t="shared" si="96"/>
        <v>0</v>
      </c>
      <c r="E166" s="1398"/>
      <c r="F166" s="1398"/>
      <c r="G166" s="1398"/>
      <c r="H166" s="1391">
        <f t="shared" si="59"/>
        <v>430.46739399999996</v>
      </c>
      <c r="I166" s="1392">
        <f>+'[3]RS NỘP TRẢ'!$D$159+'[3]RS NỘP TRẢ'!$D$173+'[3]RS NỘP TRẢ'!$D$187+'[3]RS NỘP TRẢ'!$D$202+'[3]RS NỘP TRẢ'!$D$216+'[3]RS NỘP TRẢ'!$D$230+12.395</f>
        <v>287.73827599999998</v>
      </c>
      <c r="J166" s="1392"/>
      <c r="K166" s="1399">
        <v>144</v>
      </c>
      <c r="L166" s="1392"/>
      <c r="M166" s="1399"/>
      <c r="N166" s="1399"/>
      <c r="O166" s="1397">
        <f>+I166+K166-P166</f>
        <v>1.2708820000000287</v>
      </c>
      <c r="P166" s="1391">
        <f>+'[3]RS NỘP TRẢ'!$H$230+'[3]RS NỘP TRẢ'!$H$216+'[3]RS NỘP TRẢ'!$H$202+'[3]RS NỘP TRẢ'!$H$187+'[3]RS NỘP TRẢ'!$H$173+'[3]RS NỘP TRẢ'!$H$159</f>
        <v>430.46739399999996</v>
      </c>
      <c r="Q166" s="1397"/>
      <c r="R166" s="1391">
        <f t="shared" si="94"/>
        <v>0</v>
      </c>
      <c r="S166" s="1393"/>
      <c r="T166" s="1391">
        <f>+R166</f>
        <v>0</v>
      </c>
    </row>
    <row r="167" spans="1:22" s="1387" customFormat="1" ht="63" customHeight="1">
      <c r="A167" s="1395">
        <v>10</v>
      </c>
      <c r="B167" s="1394" t="s">
        <v>1195</v>
      </c>
      <c r="C167" s="1391">
        <f t="shared" ref="C167" si="97">+D167+H167</f>
        <v>60</v>
      </c>
      <c r="D167" s="1398">
        <f t="shared" ref="D167" si="98">SUM(E167:G167)</f>
        <v>0</v>
      </c>
      <c r="E167" s="1398"/>
      <c r="F167" s="1398"/>
      <c r="G167" s="1398"/>
      <c r="H167" s="1391">
        <f t="shared" ref="H167" si="99">+I167+J167+K167+L167+M167-N167-O167</f>
        <v>60</v>
      </c>
      <c r="I167" s="1392"/>
      <c r="J167" s="1402"/>
      <c r="K167" s="1399">
        <v>60</v>
      </c>
      <c r="L167" s="1392"/>
      <c r="M167" s="1399"/>
      <c r="N167" s="1399"/>
      <c r="O167" s="1397">
        <v>0</v>
      </c>
      <c r="P167" s="1391">
        <f>+K167</f>
        <v>60</v>
      </c>
      <c r="Q167" s="1397"/>
      <c r="R167" s="1391">
        <f t="shared" ref="R167" si="100">+C167-P167-Q167</f>
        <v>0</v>
      </c>
      <c r="S167" s="1391"/>
      <c r="T167" s="1391">
        <f>R167</f>
        <v>0</v>
      </c>
    </row>
    <row r="168" spans="1:22" s="1387" customFormat="1" ht="38.25" customHeight="1">
      <c r="A168" s="1395">
        <v>11</v>
      </c>
      <c r="B168" s="1394" t="s">
        <v>1196</v>
      </c>
      <c r="C168" s="1391">
        <f t="shared" ref="C168" si="101">+D168+H168</f>
        <v>27</v>
      </c>
      <c r="D168" s="1398">
        <f t="shared" ref="D168" si="102">SUM(E168:G168)</f>
        <v>0</v>
      </c>
      <c r="E168" s="1398"/>
      <c r="F168" s="1398"/>
      <c r="G168" s="1398"/>
      <c r="H168" s="1391">
        <f t="shared" ref="H168" si="103">+I168+J168+K168+L168+M168-N168-O168</f>
        <v>27</v>
      </c>
      <c r="I168" s="1392"/>
      <c r="J168" s="1402"/>
      <c r="K168" s="1399">
        <v>27</v>
      </c>
      <c r="L168" s="1392"/>
      <c r="M168" s="1399"/>
      <c r="N168" s="1399"/>
      <c r="O168" s="1397">
        <v>0</v>
      </c>
      <c r="P168" s="1391">
        <f>+K168</f>
        <v>27</v>
      </c>
      <c r="Q168" s="1397"/>
      <c r="R168" s="1391">
        <f t="shared" ref="R168" si="104">+C168-P168-Q168</f>
        <v>0</v>
      </c>
      <c r="S168" s="1391"/>
      <c r="T168" s="1391">
        <f>R168</f>
        <v>0</v>
      </c>
    </row>
    <row r="169" spans="1:22" s="1387" customFormat="1" ht="29.25" customHeight="1">
      <c r="A169" s="1395">
        <v>12</v>
      </c>
      <c r="B169" s="1394" t="s">
        <v>1169</v>
      </c>
      <c r="C169" s="1391">
        <f t="shared" si="95"/>
        <v>39.472799999999999</v>
      </c>
      <c r="D169" s="1398">
        <f t="shared" si="96"/>
        <v>0</v>
      </c>
      <c r="E169" s="1398"/>
      <c r="F169" s="1398"/>
      <c r="G169" s="1398"/>
      <c r="H169" s="1391">
        <f t="shared" si="59"/>
        <v>39.472799999999999</v>
      </c>
      <c r="I169" s="1392">
        <f>+'[3]RS NỘP TRẢ'!$C$310+'[3]RS NỘP TRẢ'!$C$229+'[3]RS NỘP TRẢ'!$C$215</f>
        <v>78.281000000000006</v>
      </c>
      <c r="J169" s="1402"/>
      <c r="K169" s="1399"/>
      <c r="L169" s="1392"/>
      <c r="M169" s="1399"/>
      <c r="N169" s="1399"/>
      <c r="O169" s="1397">
        <f>+I169-P169</f>
        <v>38.808200000000006</v>
      </c>
      <c r="P169" s="1391">
        <v>39.472799999999999</v>
      </c>
      <c r="Q169" s="1397"/>
      <c r="R169" s="1391">
        <f t="shared" si="94"/>
        <v>0</v>
      </c>
      <c r="S169" s="1391"/>
      <c r="T169" s="1391">
        <f>R169</f>
        <v>0</v>
      </c>
    </row>
    <row r="170" spans="1:22" s="1387" customFormat="1" ht="41.25" customHeight="1">
      <c r="A170" s="1395">
        <v>13</v>
      </c>
      <c r="B170" s="1394" t="s">
        <v>1194</v>
      </c>
      <c r="C170" s="1391">
        <f t="shared" si="95"/>
        <v>14.685500000000001</v>
      </c>
      <c r="D170" s="1398">
        <f t="shared" si="96"/>
        <v>0</v>
      </c>
      <c r="E170" s="1398"/>
      <c r="F170" s="1398"/>
      <c r="G170" s="1398"/>
      <c r="H170" s="1391">
        <f t="shared" ref="H170:H190" si="105">+I170+J170+K170+L170+M170-N170-O170</f>
        <v>14.685500000000001</v>
      </c>
      <c r="I170" s="1392">
        <f>3.55+14.95</f>
        <v>18.5</v>
      </c>
      <c r="J170" s="1402"/>
      <c r="K170" s="1397"/>
      <c r="L170" s="1392"/>
      <c r="M170" s="1399"/>
      <c r="N170" s="1399"/>
      <c r="O170" s="1397">
        <v>3.8144999999999998</v>
      </c>
      <c r="P170" s="1391">
        <f>+H170</f>
        <v>14.685500000000001</v>
      </c>
      <c r="Q170" s="1397"/>
      <c r="R170" s="1391">
        <f t="shared" si="94"/>
        <v>0</v>
      </c>
      <c r="S170" s="1391"/>
      <c r="T170" s="1391">
        <f>+R170</f>
        <v>0</v>
      </c>
    </row>
    <row r="171" spans="1:22" s="1387" customFormat="1" ht="67.5" customHeight="1">
      <c r="A171" s="1395">
        <v>14</v>
      </c>
      <c r="B171" s="1394" t="s">
        <v>1170</v>
      </c>
      <c r="C171" s="1391">
        <f t="shared" ref="C171" si="106">+D171+H171</f>
        <v>638.38099999999997</v>
      </c>
      <c r="D171" s="1398">
        <f t="shared" ref="D171" si="107">SUM(E171:G171)</f>
        <v>0</v>
      </c>
      <c r="E171" s="1398"/>
      <c r="F171" s="1398"/>
      <c r="G171" s="1398"/>
      <c r="H171" s="1391">
        <f t="shared" ref="H171" si="108">+I171+J171+K171+L171+M171-N171-O171</f>
        <v>638.38099999999997</v>
      </c>
      <c r="I171" s="1392"/>
      <c r="J171" s="1402"/>
      <c r="K171" s="1397">
        <v>638.38099999999997</v>
      </c>
      <c r="L171" s="1392"/>
      <c r="M171" s="1399"/>
      <c r="N171" s="1399"/>
      <c r="O171" s="1397">
        <v>0</v>
      </c>
      <c r="P171" s="1391">
        <f>+K171</f>
        <v>638.38099999999997</v>
      </c>
      <c r="Q171" s="1397"/>
      <c r="R171" s="1391">
        <f t="shared" ref="R171" si="109">+C171-P171-Q171</f>
        <v>0</v>
      </c>
      <c r="S171" s="1391"/>
      <c r="T171" s="1391"/>
    </row>
    <row r="172" spans="1:22" s="1387" customFormat="1" ht="66.75" customHeight="1">
      <c r="A172" s="1395">
        <v>15</v>
      </c>
      <c r="B172" s="1394" t="s">
        <v>1193</v>
      </c>
      <c r="C172" s="1391">
        <f t="shared" si="95"/>
        <v>2234.5555049999998</v>
      </c>
      <c r="D172" s="1398">
        <f t="shared" si="96"/>
        <v>0</v>
      </c>
      <c r="E172" s="1398"/>
      <c r="F172" s="1398"/>
      <c r="G172" s="1398"/>
      <c r="H172" s="1391">
        <f t="shared" si="105"/>
        <v>2234.5555049999998</v>
      </c>
      <c r="I172" s="1392"/>
      <c r="J172" s="1402"/>
      <c r="K172" s="1397">
        <v>2234.5555049999998</v>
      </c>
      <c r="L172" s="1392"/>
      <c r="M172" s="1399"/>
      <c r="N172" s="1399"/>
      <c r="O172" s="1397">
        <v>0</v>
      </c>
      <c r="P172" s="1391">
        <f>+K172</f>
        <v>2234.5555049999998</v>
      </c>
      <c r="Q172" s="1397"/>
      <c r="R172" s="1391">
        <f t="shared" si="94"/>
        <v>0</v>
      </c>
      <c r="S172" s="1391"/>
      <c r="T172" s="1391"/>
    </row>
    <row r="173" spans="1:22" s="1387" customFormat="1" ht="54.75" customHeight="1">
      <c r="A173" s="1395">
        <v>16</v>
      </c>
      <c r="B173" s="1394" t="s">
        <v>1171</v>
      </c>
      <c r="C173" s="1391">
        <f t="shared" si="95"/>
        <v>500</v>
      </c>
      <c r="D173" s="1398">
        <f t="shared" si="96"/>
        <v>0</v>
      </c>
      <c r="E173" s="1398"/>
      <c r="F173" s="1398"/>
      <c r="G173" s="1398"/>
      <c r="H173" s="1391">
        <f t="shared" si="105"/>
        <v>500</v>
      </c>
      <c r="I173" s="1392"/>
      <c r="J173" s="1402"/>
      <c r="K173" s="1397">
        <v>500</v>
      </c>
      <c r="L173" s="1392"/>
      <c r="M173" s="1399"/>
      <c r="N173" s="1399"/>
      <c r="O173" s="1397">
        <v>0</v>
      </c>
      <c r="P173" s="1391">
        <v>500</v>
      </c>
      <c r="Q173" s="1397"/>
      <c r="R173" s="1391">
        <f t="shared" si="94"/>
        <v>0</v>
      </c>
      <c r="S173" s="1391"/>
      <c r="T173" s="1391"/>
    </row>
    <row r="174" spans="1:22" s="1387" customFormat="1" ht="39" customHeight="1">
      <c r="A174" s="1395">
        <v>17</v>
      </c>
      <c r="B174" s="1394" t="s">
        <v>1172</v>
      </c>
      <c r="C174" s="1391">
        <f t="shared" si="95"/>
        <v>569</v>
      </c>
      <c r="D174" s="1398">
        <f t="shared" si="96"/>
        <v>0</v>
      </c>
      <c r="E174" s="1398"/>
      <c r="F174" s="1398"/>
      <c r="G174" s="1398"/>
      <c r="H174" s="1391">
        <f t="shared" si="105"/>
        <v>569</v>
      </c>
      <c r="I174" s="1392"/>
      <c r="J174" s="1402"/>
      <c r="K174" s="1397">
        <v>570.4</v>
      </c>
      <c r="L174" s="1392"/>
      <c r="M174" s="1399"/>
      <c r="N174" s="1399"/>
      <c r="O174" s="1397">
        <v>1.4</v>
      </c>
      <c r="P174" s="1391">
        <f>+H174</f>
        <v>569</v>
      </c>
      <c r="Q174" s="1397"/>
      <c r="R174" s="1391">
        <f t="shared" si="94"/>
        <v>0</v>
      </c>
      <c r="S174" s="1391"/>
      <c r="T174" s="1391"/>
    </row>
    <row r="175" spans="1:22" s="1387" customFormat="1" ht="67.5" customHeight="1">
      <c r="A175" s="1395">
        <v>18</v>
      </c>
      <c r="B175" s="1394" t="s">
        <v>1192</v>
      </c>
      <c r="C175" s="1391">
        <f t="shared" si="95"/>
        <v>2277.6390000000001</v>
      </c>
      <c r="D175" s="1398">
        <f t="shared" si="96"/>
        <v>0</v>
      </c>
      <c r="E175" s="1398"/>
      <c r="F175" s="1398"/>
      <c r="G175" s="1398"/>
      <c r="H175" s="1391">
        <f t="shared" si="105"/>
        <v>2277.6390000000001</v>
      </c>
      <c r="I175" s="1392"/>
      <c r="J175" s="1402"/>
      <c r="K175" s="1397">
        <v>2277.6390000000001</v>
      </c>
      <c r="L175" s="1392"/>
      <c r="M175" s="1399"/>
      <c r="N175" s="1399"/>
      <c r="O175" s="1397">
        <v>0</v>
      </c>
      <c r="P175" s="1391">
        <f>+K175</f>
        <v>2277.6390000000001</v>
      </c>
      <c r="Q175" s="1397"/>
      <c r="R175" s="1391">
        <f t="shared" si="94"/>
        <v>0</v>
      </c>
      <c r="S175" s="1391"/>
      <c r="T175" s="1391"/>
    </row>
    <row r="176" spans="1:22" s="1387" customFormat="1" ht="45" customHeight="1">
      <c r="A176" s="1395">
        <v>19</v>
      </c>
      <c r="B176" s="1394" t="s">
        <v>1191</v>
      </c>
      <c r="C176" s="1391">
        <f t="shared" ref="C176" si="110">+D176+H176</f>
        <v>155.73869999999999</v>
      </c>
      <c r="D176" s="1398">
        <f t="shared" ref="D176" si="111">SUM(E176:G176)</f>
        <v>0</v>
      </c>
      <c r="E176" s="1398"/>
      <c r="F176" s="1398"/>
      <c r="G176" s="1398"/>
      <c r="H176" s="1391">
        <f t="shared" ref="H176" si="112">+I176+J176+K176+L176+M176-N176-O176</f>
        <v>155.73869999999999</v>
      </c>
      <c r="I176" s="1392"/>
      <c r="J176" s="1402"/>
      <c r="K176" s="1397">
        <v>155.73869999999999</v>
      </c>
      <c r="L176" s="1392"/>
      <c r="M176" s="1399"/>
      <c r="N176" s="1399"/>
      <c r="O176" s="1397">
        <v>0</v>
      </c>
      <c r="P176" s="1391">
        <f>+K176</f>
        <v>155.73869999999999</v>
      </c>
      <c r="Q176" s="1397"/>
      <c r="R176" s="1391">
        <f t="shared" ref="R176" si="113">+C176-P176-Q176</f>
        <v>0</v>
      </c>
      <c r="S176" s="1391"/>
      <c r="T176" s="1391"/>
    </row>
    <row r="177" spans="1:21" s="1387" customFormat="1" ht="67.5" customHeight="1">
      <c r="A177" s="1395">
        <v>20</v>
      </c>
      <c r="B177" s="1394" t="s">
        <v>1173</v>
      </c>
      <c r="C177" s="1391">
        <f t="shared" si="95"/>
        <v>1540.8194550000001</v>
      </c>
      <c r="D177" s="1398">
        <f t="shared" si="96"/>
        <v>0</v>
      </c>
      <c r="E177" s="1398"/>
      <c r="F177" s="1398"/>
      <c r="G177" s="1398"/>
      <c r="H177" s="1391">
        <f t="shared" si="105"/>
        <v>1540.8194550000001</v>
      </c>
      <c r="I177" s="1392"/>
      <c r="J177" s="1402"/>
      <c r="K177" s="1397">
        <v>1540.8194550000001</v>
      </c>
      <c r="L177" s="1392"/>
      <c r="M177" s="1399"/>
      <c r="N177" s="1399"/>
      <c r="O177" s="1397">
        <v>0</v>
      </c>
      <c r="P177" s="1391">
        <f>+K177</f>
        <v>1540.8194550000001</v>
      </c>
      <c r="Q177" s="1397"/>
      <c r="R177" s="1391">
        <f t="shared" si="94"/>
        <v>0</v>
      </c>
      <c r="S177" s="1391"/>
      <c r="T177" s="1391"/>
    </row>
    <row r="178" spans="1:21" s="1387" customFormat="1" ht="55.5" customHeight="1">
      <c r="A178" s="1395">
        <v>21</v>
      </c>
      <c r="B178" s="1394" t="s">
        <v>1190</v>
      </c>
      <c r="C178" s="1391">
        <f t="shared" si="95"/>
        <v>46.794600000000003</v>
      </c>
      <c r="D178" s="1398">
        <f t="shared" si="96"/>
        <v>0</v>
      </c>
      <c r="E178" s="1398"/>
      <c r="F178" s="1398"/>
      <c r="G178" s="1398"/>
      <c r="H178" s="1391">
        <f t="shared" si="105"/>
        <v>46.794600000000003</v>
      </c>
      <c r="I178" s="1392"/>
      <c r="J178" s="1402"/>
      <c r="K178" s="1397">
        <v>110.332836</v>
      </c>
      <c r="L178" s="1392"/>
      <c r="M178" s="1399"/>
      <c r="N178" s="1399"/>
      <c r="O178" s="1397">
        <v>63.538235999999998</v>
      </c>
      <c r="P178" s="1391">
        <f>+C178</f>
        <v>46.794600000000003</v>
      </c>
      <c r="Q178" s="1397"/>
      <c r="R178" s="1391">
        <f t="shared" si="94"/>
        <v>0</v>
      </c>
      <c r="S178" s="1391"/>
      <c r="T178" s="1391"/>
    </row>
    <row r="179" spans="1:21" s="1387" customFormat="1" ht="31.5" customHeight="1">
      <c r="A179" s="1395">
        <v>22</v>
      </c>
      <c r="B179" s="1394" t="s">
        <v>1174</v>
      </c>
      <c r="C179" s="1391">
        <f t="shared" si="95"/>
        <v>10</v>
      </c>
      <c r="D179" s="1398">
        <f t="shared" si="96"/>
        <v>0</v>
      </c>
      <c r="E179" s="1398"/>
      <c r="F179" s="1398"/>
      <c r="G179" s="1398"/>
      <c r="H179" s="1391">
        <f t="shared" si="105"/>
        <v>10</v>
      </c>
      <c r="I179" s="1392"/>
      <c r="J179" s="1402"/>
      <c r="K179" s="1397">
        <v>10</v>
      </c>
      <c r="L179" s="1392"/>
      <c r="M179" s="1399"/>
      <c r="N179" s="1399"/>
      <c r="O179" s="1397">
        <v>0</v>
      </c>
      <c r="P179" s="1391">
        <f>+H179</f>
        <v>10</v>
      </c>
      <c r="Q179" s="1397"/>
      <c r="R179" s="1391">
        <f t="shared" si="94"/>
        <v>0</v>
      </c>
      <c r="S179" s="1391"/>
      <c r="T179" s="1391"/>
    </row>
    <row r="180" spans="1:21" s="1387" customFormat="1" ht="36.75" customHeight="1">
      <c r="A180" s="1395">
        <v>23</v>
      </c>
      <c r="B180" s="1394" t="s">
        <v>1175</v>
      </c>
      <c r="C180" s="1391">
        <f t="shared" si="95"/>
        <v>1484.3592000000001</v>
      </c>
      <c r="D180" s="1398">
        <f t="shared" si="96"/>
        <v>0</v>
      </c>
      <c r="E180" s="1398"/>
      <c r="F180" s="1398"/>
      <c r="G180" s="1398"/>
      <c r="H180" s="1391">
        <f t="shared" si="105"/>
        <v>1484.3592000000001</v>
      </c>
      <c r="I180" s="1392"/>
      <c r="J180" s="1402"/>
      <c r="K180" s="1397">
        <v>1500</v>
      </c>
      <c r="L180" s="1392"/>
      <c r="M180" s="1399"/>
      <c r="N180" s="1399"/>
      <c r="O180" s="1397">
        <v>15.6408</v>
      </c>
      <c r="P180" s="1391">
        <f>+H180</f>
        <v>1484.3592000000001</v>
      </c>
      <c r="Q180" s="1397"/>
      <c r="R180" s="1391">
        <f t="shared" si="94"/>
        <v>0</v>
      </c>
      <c r="S180" s="1391"/>
      <c r="T180" s="1391"/>
    </row>
    <row r="181" spans="1:21" s="1387" customFormat="1" ht="48">
      <c r="A181" s="1395">
        <v>24</v>
      </c>
      <c r="B181" s="1394" t="s">
        <v>1176</v>
      </c>
      <c r="C181" s="1391">
        <f t="shared" si="95"/>
        <v>367.077</v>
      </c>
      <c r="D181" s="1398">
        <f t="shared" si="96"/>
        <v>0</v>
      </c>
      <c r="E181" s="1398"/>
      <c r="F181" s="1398"/>
      <c r="G181" s="1398"/>
      <c r="H181" s="1391">
        <f t="shared" si="105"/>
        <v>367.077</v>
      </c>
      <c r="I181" s="1392"/>
      <c r="J181" s="1402"/>
      <c r="K181" s="1397">
        <v>410</v>
      </c>
      <c r="L181" s="1402"/>
      <c r="M181" s="1399"/>
      <c r="N181" s="1399"/>
      <c r="O181" s="1397">
        <v>42.923000000000002</v>
      </c>
      <c r="P181" s="1391">
        <f>+H181</f>
        <v>367.077</v>
      </c>
      <c r="Q181" s="1397"/>
      <c r="R181" s="1391">
        <f t="shared" si="94"/>
        <v>0</v>
      </c>
      <c r="S181" s="1391"/>
      <c r="T181" s="1391"/>
    </row>
    <row r="182" spans="1:21" s="1387" customFormat="1" ht="48">
      <c r="A182" s="1395">
        <v>25</v>
      </c>
      <c r="B182" s="1394" t="s">
        <v>1177</v>
      </c>
      <c r="C182" s="1391">
        <f t="shared" si="95"/>
        <v>660</v>
      </c>
      <c r="D182" s="1398">
        <f t="shared" si="96"/>
        <v>0</v>
      </c>
      <c r="E182" s="1398"/>
      <c r="F182" s="1398"/>
      <c r="G182" s="1398"/>
      <c r="H182" s="1391">
        <f t="shared" si="105"/>
        <v>660</v>
      </c>
      <c r="I182" s="1392"/>
      <c r="J182" s="1402"/>
      <c r="K182" s="1397">
        <v>660</v>
      </c>
      <c r="L182" s="1392"/>
      <c r="M182" s="1399"/>
      <c r="N182" s="1399"/>
      <c r="O182" s="1397">
        <v>0</v>
      </c>
      <c r="P182" s="1391">
        <f>+K182</f>
        <v>660</v>
      </c>
      <c r="Q182" s="1397"/>
      <c r="R182" s="1391">
        <f t="shared" si="94"/>
        <v>0</v>
      </c>
      <c r="S182" s="1391"/>
      <c r="T182" s="1391"/>
    </row>
    <row r="183" spans="1:21" s="1387" customFormat="1" ht="48">
      <c r="A183" s="1395">
        <v>26</v>
      </c>
      <c r="B183" s="1394" t="s">
        <v>1178</v>
      </c>
      <c r="C183" s="1391">
        <f t="shared" si="95"/>
        <v>1326.635</v>
      </c>
      <c r="D183" s="1398">
        <f t="shared" si="96"/>
        <v>0</v>
      </c>
      <c r="E183" s="1398"/>
      <c r="F183" s="1398"/>
      <c r="G183" s="1398"/>
      <c r="H183" s="1391">
        <f t="shared" si="105"/>
        <v>1326.635</v>
      </c>
      <c r="I183" s="1392"/>
      <c r="J183" s="1402"/>
      <c r="K183" s="1397">
        <v>1326.635</v>
      </c>
      <c r="L183" s="1392"/>
      <c r="M183" s="1399"/>
      <c r="N183" s="1399"/>
      <c r="O183" s="1397">
        <v>0</v>
      </c>
      <c r="P183" s="1391">
        <f>+H183</f>
        <v>1326.635</v>
      </c>
      <c r="Q183" s="1397"/>
      <c r="R183" s="1391">
        <f t="shared" si="94"/>
        <v>0</v>
      </c>
      <c r="S183" s="1391"/>
      <c r="T183" s="1391"/>
    </row>
    <row r="184" spans="1:21" s="1401" customFormat="1" ht="72">
      <c r="A184" s="1395">
        <v>27</v>
      </c>
      <c r="B184" s="1396" t="s">
        <v>1179</v>
      </c>
      <c r="C184" s="1397">
        <f t="shared" si="95"/>
        <v>138.64500000000001</v>
      </c>
      <c r="D184" s="1398">
        <f t="shared" si="96"/>
        <v>0</v>
      </c>
      <c r="E184" s="1398"/>
      <c r="F184" s="1398"/>
      <c r="G184" s="1398"/>
      <c r="H184" s="1397">
        <f t="shared" si="105"/>
        <v>138.64500000000001</v>
      </c>
      <c r="I184" s="1399"/>
      <c r="J184" s="1400"/>
      <c r="K184" s="1397">
        <v>138.64500000000001</v>
      </c>
      <c r="L184" s="1399"/>
      <c r="M184" s="1399"/>
      <c r="N184" s="1399"/>
      <c r="O184" s="1397">
        <v>0</v>
      </c>
      <c r="P184" s="1397">
        <f>+H184</f>
        <v>138.64500000000001</v>
      </c>
      <c r="Q184" s="1397"/>
      <c r="R184" s="1397">
        <f t="shared" si="94"/>
        <v>0</v>
      </c>
      <c r="S184" s="1397"/>
      <c r="T184" s="1397"/>
    </row>
    <row r="185" spans="1:21" s="1401" customFormat="1" ht="48">
      <c r="A185" s="1395">
        <v>28</v>
      </c>
      <c r="B185" s="1396" t="s">
        <v>1180</v>
      </c>
      <c r="C185" s="1397">
        <f t="shared" si="95"/>
        <v>90</v>
      </c>
      <c r="D185" s="1398">
        <f t="shared" si="96"/>
        <v>0</v>
      </c>
      <c r="E185" s="1398"/>
      <c r="F185" s="1398"/>
      <c r="G185" s="1398"/>
      <c r="H185" s="1397">
        <f t="shared" si="105"/>
        <v>90</v>
      </c>
      <c r="I185" s="1399"/>
      <c r="J185" s="1400"/>
      <c r="K185" s="1399">
        <v>90</v>
      </c>
      <c r="L185" s="1399"/>
      <c r="M185" s="1399"/>
      <c r="N185" s="1399"/>
      <c r="O185" s="1399">
        <v>0</v>
      </c>
      <c r="P185" s="1397">
        <v>0</v>
      </c>
      <c r="Q185" s="1397"/>
      <c r="R185" s="1397">
        <f t="shared" si="94"/>
        <v>90</v>
      </c>
      <c r="S185" s="1397">
        <f>+R185</f>
        <v>90</v>
      </c>
      <c r="T185" s="1397"/>
    </row>
    <row r="186" spans="1:21" s="1401" customFormat="1" ht="84">
      <c r="A186" s="1395">
        <v>29</v>
      </c>
      <c r="B186" s="1396" t="s">
        <v>1181</v>
      </c>
      <c r="C186" s="1397">
        <f t="shared" si="95"/>
        <v>150.79999999999998</v>
      </c>
      <c r="D186" s="1398">
        <f t="shared" si="96"/>
        <v>0</v>
      </c>
      <c r="E186" s="1398"/>
      <c r="F186" s="1398"/>
      <c r="G186" s="1398"/>
      <c r="H186" s="1397">
        <f t="shared" si="105"/>
        <v>150.79999999999998</v>
      </c>
      <c r="I186" s="1399"/>
      <c r="J186" s="1400"/>
      <c r="K186" s="1398">
        <v>157.6</v>
      </c>
      <c r="L186" s="1398"/>
      <c r="M186" s="1398"/>
      <c r="N186" s="1398"/>
      <c r="O186" s="1399">
        <v>6.8</v>
      </c>
      <c r="P186" s="1397">
        <f>+H186</f>
        <v>150.79999999999998</v>
      </c>
      <c r="Q186" s="1397"/>
      <c r="R186" s="1397">
        <f t="shared" si="94"/>
        <v>0</v>
      </c>
      <c r="S186" s="1397"/>
      <c r="T186" s="1397">
        <f>+R186</f>
        <v>0</v>
      </c>
    </row>
    <row r="187" spans="1:21" s="1401" customFormat="1" ht="48">
      <c r="A187" s="1395">
        <v>30</v>
      </c>
      <c r="B187" s="1396" t="s">
        <v>1182</v>
      </c>
      <c r="C187" s="1397">
        <f t="shared" si="95"/>
        <v>2000</v>
      </c>
      <c r="D187" s="1398">
        <f t="shared" si="96"/>
        <v>0</v>
      </c>
      <c r="E187" s="1398"/>
      <c r="F187" s="1398"/>
      <c r="G187" s="1398"/>
      <c r="H187" s="1397">
        <f t="shared" si="105"/>
        <v>2000</v>
      </c>
      <c r="I187" s="1399"/>
      <c r="J187" s="1400"/>
      <c r="K187" s="1399">
        <v>2000</v>
      </c>
      <c r="L187" s="1399"/>
      <c r="M187" s="1399"/>
      <c r="N187" s="1399"/>
      <c r="O187" s="1399">
        <v>0</v>
      </c>
      <c r="P187" s="1397">
        <v>0</v>
      </c>
      <c r="Q187" s="1397"/>
      <c r="R187" s="1397">
        <f t="shared" si="94"/>
        <v>2000</v>
      </c>
      <c r="S187" s="1397">
        <f>+R187</f>
        <v>2000</v>
      </c>
      <c r="T187" s="1397"/>
    </row>
    <row r="188" spans="1:21" s="1401" customFormat="1" ht="48">
      <c r="A188" s="1395">
        <v>31</v>
      </c>
      <c r="B188" s="1396" t="s">
        <v>1183</v>
      </c>
      <c r="C188" s="1397">
        <f t="shared" si="95"/>
        <v>1300</v>
      </c>
      <c r="D188" s="1398">
        <f t="shared" si="96"/>
        <v>0</v>
      </c>
      <c r="E188" s="1398"/>
      <c r="F188" s="1398"/>
      <c r="G188" s="1398"/>
      <c r="H188" s="1397">
        <f t="shared" si="105"/>
        <v>1300</v>
      </c>
      <c r="I188" s="1399"/>
      <c r="J188" s="1400"/>
      <c r="K188" s="1399">
        <v>1300</v>
      </c>
      <c r="L188" s="1399"/>
      <c r="M188" s="1399"/>
      <c r="N188" s="1399"/>
      <c r="O188" s="1397">
        <v>0</v>
      </c>
      <c r="P188" s="1397">
        <v>0</v>
      </c>
      <c r="Q188" s="1397"/>
      <c r="R188" s="1397">
        <f t="shared" si="94"/>
        <v>1300</v>
      </c>
      <c r="S188" s="1397">
        <f>+R188</f>
        <v>1300</v>
      </c>
      <c r="T188" s="1397"/>
    </row>
    <row r="189" spans="1:21" s="1401" customFormat="1" ht="39.75" customHeight="1">
      <c r="A189" s="1395">
        <v>32</v>
      </c>
      <c r="B189" s="1396" t="s">
        <v>1184</v>
      </c>
      <c r="C189" s="1397">
        <f t="shared" si="95"/>
        <v>0</v>
      </c>
      <c r="D189" s="1398">
        <f t="shared" si="96"/>
        <v>0</v>
      </c>
      <c r="E189" s="1398"/>
      <c r="F189" s="1398"/>
      <c r="G189" s="1398"/>
      <c r="H189" s="1397">
        <f t="shared" si="105"/>
        <v>0</v>
      </c>
      <c r="I189" s="1399"/>
      <c r="J189" s="1400"/>
      <c r="K189" s="1399">
        <v>168</v>
      </c>
      <c r="L189" s="1399"/>
      <c r="M189" s="1399"/>
      <c r="N189" s="1399"/>
      <c r="O189" s="1399">
        <v>168</v>
      </c>
      <c r="P189" s="1397">
        <v>0</v>
      </c>
      <c r="Q189" s="1397"/>
      <c r="R189" s="1397">
        <f t="shared" si="94"/>
        <v>0</v>
      </c>
      <c r="S189" s="1403"/>
      <c r="T189" s="1403">
        <f>+R189</f>
        <v>0</v>
      </c>
    </row>
    <row r="190" spans="1:21" s="1401" customFormat="1" ht="36">
      <c r="A190" s="1395">
        <v>33</v>
      </c>
      <c r="B190" s="1421" t="s">
        <v>1205</v>
      </c>
      <c r="C190" s="1398">
        <f>+D190+H190</f>
        <v>1106.6088199999999</v>
      </c>
      <c r="D190" s="1398">
        <f>SUM(E190:G190)</f>
        <v>0</v>
      </c>
      <c r="E190" s="1398"/>
      <c r="F190" s="1398"/>
      <c r="G190" s="1398"/>
      <c r="H190" s="1397">
        <f t="shared" si="105"/>
        <v>1106.6088199999999</v>
      </c>
      <c r="I190" s="1399">
        <f>1150-43.39118</f>
        <v>1106.6088199999999</v>
      </c>
      <c r="J190" s="1399"/>
      <c r="K190" s="1399"/>
      <c r="L190" s="1399"/>
      <c r="M190" s="1399"/>
      <c r="N190" s="1399"/>
      <c r="O190" s="1399"/>
      <c r="P190" s="1397">
        <v>1106.6088199999999</v>
      </c>
      <c r="Q190" s="1397"/>
      <c r="R190" s="1397">
        <f>+C190-P190-Q190</f>
        <v>0</v>
      </c>
      <c r="S190" s="1422">
        <f t="shared" ref="S190" si="114">+R190</f>
        <v>0</v>
      </c>
      <c r="T190" s="1397"/>
      <c r="U190" s="1420"/>
    </row>
    <row r="191" spans="1:21" s="1401" customFormat="1" ht="84">
      <c r="A191" s="1395">
        <v>34</v>
      </c>
      <c r="B191" s="1396" t="s">
        <v>1204</v>
      </c>
      <c r="C191" s="1398">
        <f>+D191+H191</f>
        <v>1664.0830410000001</v>
      </c>
      <c r="D191" s="1398">
        <f>+SUM(D192:D198)</f>
        <v>1322.0350460000002</v>
      </c>
      <c r="E191" s="1398">
        <f t="shared" ref="E191:T191" si="115">+SUM(E192:E198)</f>
        <v>1322.0350460000002</v>
      </c>
      <c r="F191" s="1398">
        <f t="shared" si="115"/>
        <v>0</v>
      </c>
      <c r="G191" s="1398">
        <f t="shared" si="115"/>
        <v>0</v>
      </c>
      <c r="H191" s="1398">
        <f t="shared" si="115"/>
        <v>342.04799499999996</v>
      </c>
      <c r="I191" s="1398">
        <f>+SUM(I192:I198)</f>
        <v>340.99799499999995</v>
      </c>
      <c r="J191" s="1398">
        <f t="shared" si="115"/>
        <v>0</v>
      </c>
      <c r="K191" s="1398">
        <f t="shared" si="115"/>
        <v>0</v>
      </c>
      <c r="L191" s="1398">
        <f t="shared" si="115"/>
        <v>1.0499999999999998</v>
      </c>
      <c r="M191" s="1398">
        <f t="shared" si="115"/>
        <v>0</v>
      </c>
      <c r="N191" s="1398">
        <f t="shared" si="115"/>
        <v>0</v>
      </c>
      <c r="O191" s="1398">
        <f t="shared" si="115"/>
        <v>0</v>
      </c>
      <c r="P191" s="1398">
        <f t="shared" si="115"/>
        <v>1071.7410600000001</v>
      </c>
      <c r="Q191" s="1398">
        <f t="shared" si="115"/>
        <v>0</v>
      </c>
      <c r="R191" s="1398">
        <f t="shared" si="115"/>
        <v>592.34198099999981</v>
      </c>
      <c r="S191" s="1398">
        <f t="shared" si="115"/>
        <v>592.34198099999981</v>
      </c>
      <c r="T191" s="1398">
        <f t="shared" si="115"/>
        <v>0</v>
      </c>
      <c r="U191" s="1420"/>
    </row>
    <row r="192" spans="1:21" s="1417" customFormat="1" ht="24">
      <c r="A192" s="1411"/>
      <c r="B192" s="1412" t="s">
        <v>1018</v>
      </c>
      <c r="C192" s="1413">
        <f t="shared" ref="C192:C198" si="116">+D192+H192</f>
        <v>433.68149599999998</v>
      </c>
      <c r="D192" s="1435">
        <f t="shared" ref="D192:D195" si="117">SUM(E192:G192)</f>
        <v>433.68149599999998</v>
      </c>
      <c r="E192" s="1435">
        <v>433.68149599999998</v>
      </c>
      <c r="F192" s="1435"/>
      <c r="G192" s="1435"/>
      <c r="H192" s="1414">
        <f>+I192+J192+K192+L192+M192-N192-O192</f>
        <v>0</v>
      </c>
      <c r="I192" s="1415"/>
      <c r="J192" s="1415"/>
      <c r="K192" s="1449"/>
      <c r="L192" s="1415"/>
      <c r="M192" s="1449"/>
      <c r="N192" s="1449"/>
      <c r="O192" s="1449"/>
      <c r="P192" s="1414">
        <v>433.68149599999998</v>
      </c>
      <c r="Q192" s="1416"/>
      <c r="R192" s="1416">
        <f>+C192-P192-Q192</f>
        <v>0</v>
      </c>
      <c r="S192" s="1414"/>
      <c r="T192" s="1414"/>
      <c r="U192" s="1418"/>
    </row>
    <row r="193" spans="1:21" s="1417" customFormat="1" ht="24">
      <c r="A193" s="1411"/>
      <c r="B193" s="1412" t="s">
        <v>1010</v>
      </c>
      <c r="C193" s="1413">
        <f t="shared" si="116"/>
        <v>770.83</v>
      </c>
      <c r="D193" s="1435">
        <f t="shared" si="117"/>
        <v>770.83</v>
      </c>
      <c r="E193" s="1435">
        <v>770.83</v>
      </c>
      <c r="F193" s="1435"/>
      <c r="G193" s="1435"/>
      <c r="H193" s="1414">
        <f>+I193+J193+K193+L193+M193-N193-O193</f>
        <v>0</v>
      </c>
      <c r="I193" s="1415"/>
      <c r="J193" s="1415"/>
      <c r="K193" s="1449"/>
      <c r="L193" s="1415"/>
      <c r="M193" s="1449"/>
      <c r="N193" s="1449"/>
      <c r="O193" s="1449"/>
      <c r="P193" s="1414">
        <v>638.05956400000014</v>
      </c>
      <c r="Q193" s="1416"/>
      <c r="R193" s="1416">
        <f>+C193-P193-Q193</f>
        <v>132.7704359999999</v>
      </c>
      <c r="S193" s="1414">
        <f t="shared" ref="S193:S198" si="118">+R193</f>
        <v>132.7704359999999</v>
      </c>
      <c r="T193" s="1414"/>
      <c r="U193" s="1418"/>
    </row>
    <row r="194" spans="1:21" s="1417" customFormat="1" ht="60">
      <c r="A194" s="1411"/>
      <c r="B194" s="1419" t="s">
        <v>1201</v>
      </c>
      <c r="C194" s="1413">
        <f t="shared" si="116"/>
        <v>143.0812</v>
      </c>
      <c r="D194" s="1435">
        <f t="shared" si="117"/>
        <v>0</v>
      </c>
      <c r="E194" s="1435"/>
      <c r="F194" s="1435"/>
      <c r="G194" s="1435"/>
      <c r="H194" s="1414">
        <f>+I194+J194+K194+L194+M194-N194-O194</f>
        <v>143.0812</v>
      </c>
      <c r="I194" s="1415">
        <v>143.0812</v>
      </c>
      <c r="J194" s="1415"/>
      <c r="K194" s="1449"/>
      <c r="L194" s="1415"/>
      <c r="M194" s="1449"/>
      <c r="N194" s="1449"/>
      <c r="O194" s="1449"/>
      <c r="P194" s="1414">
        <v>0</v>
      </c>
      <c r="Q194" s="1416"/>
      <c r="R194" s="1416">
        <f>+C194-P194-Q194</f>
        <v>143.0812</v>
      </c>
      <c r="S194" s="1414">
        <f t="shared" si="118"/>
        <v>143.0812</v>
      </c>
      <c r="T194" s="1414"/>
      <c r="U194" s="1418"/>
    </row>
    <row r="195" spans="1:21" s="1417" customFormat="1" ht="96">
      <c r="A195" s="1411"/>
      <c r="B195" s="1419" t="s">
        <v>1200</v>
      </c>
      <c r="C195" s="1413">
        <f t="shared" si="116"/>
        <v>0.61439999999999995</v>
      </c>
      <c r="D195" s="1435">
        <f t="shared" si="117"/>
        <v>0</v>
      </c>
      <c r="E195" s="1435"/>
      <c r="F195" s="1435"/>
      <c r="G195" s="1435"/>
      <c r="H195" s="1414">
        <f>+I195+J195+K195+L195+M195-N195-O195</f>
        <v>0.61439999999999995</v>
      </c>
      <c r="I195" s="1415">
        <v>0.61439999999999995</v>
      </c>
      <c r="J195" s="1415"/>
      <c r="K195" s="1449"/>
      <c r="L195" s="1415"/>
      <c r="M195" s="1449"/>
      <c r="N195" s="1449"/>
      <c r="O195" s="1449"/>
      <c r="P195" s="1414"/>
      <c r="Q195" s="1416"/>
      <c r="R195" s="1416">
        <f>+C195-P195-Q195</f>
        <v>0.61439999999999995</v>
      </c>
      <c r="S195" s="1414">
        <f t="shared" si="118"/>
        <v>0.61439999999999995</v>
      </c>
      <c r="T195" s="1414"/>
      <c r="U195" s="1418"/>
    </row>
    <row r="196" spans="1:21" s="1417" customFormat="1" ht="36">
      <c r="A196" s="1411"/>
      <c r="B196" s="1419" t="s">
        <v>1020</v>
      </c>
      <c r="C196" s="1413">
        <f t="shared" ref="C196" si="119">+D196+H196</f>
        <v>8.9</v>
      </c>
      <c r="D196" s="1435">
        <f t="shared" ref="D196" si="120">SUM(E196:G196)</f>
        <v>8.9</v>
      </c>
      <c r="E196" s="1435">
        <v>8.9</v>
      </c>
      <c r="F196" s="1435"/>
      <c r="G196" s="1435"/>
      <c r="H196" s="1414">
        <f t="shared" ref="H196" si="121">+I196+J196+K196+L196+M196-N196-O196</f>
        <v>0</v>
      </c>
      <c r="I196" s="1415"/>
      <c r="J196" s="1415"/>
      <c r="K196" s="1449"/>
      <c r="L196" s="1415"/>
      <c r="M196" s="1449"/>
      <c r="N196" s="1449"/>
      <c r="O196" s="1449"/>
      <c r="P196" s="1414"/>
      <c r="Q196" s="1416"/>
      <c r="R196" s="1416">
        <f t="shared" ref="R196" si="122">+C196-P196-Q196</f>
        <v>8.9</v>
      </c>
      <c r="S196" s="1414">
        <f t="shared" si="118"/>
        <v>8.9</v>
      </c>
      <c r="T196" s="1414"/>
      <c r="U196" s="1418"/>
    </row>
    <row r="197" spans="1:21" s="1417" customFormat="1" ht="23.45" customHeight="1">
      <c r="A197" s="1411"/>
      <c r="B197" s="1419" t="s">
        <v>1021</v>
      </c>
      <c r="C197" s="1413">
        <f t="shared" ref="C197" si="123">+D197+H197</f>
        <v>197.30239499999999</v>
      </c>
      <c r="D197" s="1435">
        <f t="shared" ref="D197" si="124">SUM(E197:G197)</f>
        <v>0</v>
      </c>
      <c r="E197" s="1435"/>
      <c r="F197" s="1435"/>
      <c r="G197" s="1435"/>
      <c r="H197" s="1414">
        <f t="shared" ref="H197" si="125">+I197+J197+K197+L197+M197-N197-O197</f>
        <v>197.30239499999999</v>
      </c>
      <c r="I197" s="1415">
        <v>197.30239499999999</v>
      </c>
      <c r="J197" s="1415"/>
      <c r="K197" s="1449"/>
      <c r="L197" s="1415"/>
      <c r="M197" s="1449"/>
      <c r="N197" s="1449"/>
      <c r="O197" s="1449"/>
      <c r="P197" s="1414"/>
      <c r="Q197" s="1416"/>
      <c r="R197" s="1416">
        <f t="shared" ref="R197" si="126">+C197-P197-Q197</f>
        <v>197.30239499999999</v>
      </c>
      <c r="S197" s="1414">
        <f t="shared" si="118"/>
        <v>197.30239499999999</v>
      </c>
      <c r="T197" s="1414"/>
      <c r="U197" s="1418"/>
    </row>
    <row r="198" spans="1:21" s="1417" customFormat="1" ht="60">
      <c r="A198" s="1411"/>
      <c r="B198" s="1419" t="s">
        <v>1208</v>
      </c>
      <c r="C198" s="1413">
        <f t="shared" si="116"/>
        <v>109.67354999999999</v>
      </c>
      <c r="D198" s="1435">
        <f>SUM(E198:G198)</f>
        <v>108.62354999999999</v>
      </c>
      <c r="E198" s="1435">
        <f>155.1765*0.7</f>
        <v>108.62354999999999</v>
      </c>
      <c r="F198" s="1435"/>
      <c r="G198" s="1435"/>
      <c r="H198" s="1414">
        <f>+I198+J198+K198+L198+M198-N198-O198</f>
        <v>1.0499999999999998</v>
      </c>
      <c r="I198" s="1415"/>
      <c r="J198" s="1415"/>
      <c r="K198" s="1449"/>
      <c r="L198" s="1415">
        <f>1.5*0.7</f>
        <v>1.0499999999999998</v>
      </c>
      <c r="M198" s="1449"/>
      <c r="N198" s="1449"/>
      <c r="O198" s="1449"/>
      <c r="P198" s="1414"/>
      <c r="Q198" s="1416"/>
      <c r="R198" s="1416">
        <f>+C198-P198-Q198</f>
        <v>109.67354999999999</v>
      </c>
      <c r="S198" s="1414">
        <f t="shared" si="118"/>
        <v>109.67354999999999</v>
      </c>
      <c r="T198" s="1414"/>
      <c r="U198" s="1418"/>
    </row>
    <row r="199" spans="1:21" s="1401" customFormat="1" ht="24">
      <c r="A199" s="1395">
        <v>35</v>
      </c>
      <c r="B199" s="1396" t="s">
        <v>1185</v>
      </c>
      <c r="C199" s="1398">
        <f>+SUM(C200:C203)</f>
        <v>2100</v>
      </c>
      <c r="D199" s="1398">
        <f t="shared" ref="D199:T199" si="127">+SUM(D200:D203)</f>
        <v>235.643652</v>
      </c>
      <c r="E199" s="1398">
        <f t="shared" si="127"/>
        <v>235.643652</v>
      </c>
      <c r="F199" s="1398">
        <f t="shared" si="127"/>
        <v>0</v>
      </c>
      <c r="G199" s="1398">
        <f t="shared" si="127"/>
        <v>0</v>
      </c>
      <c r="H199" s="1398">
        <f t="shared" si="127"/>
        <v>1864.3563479999998</v>
      </c>
      <c r="I199" s="1398">
        <f t="shared" si="127"/>
        <v>1863.906348</v>
      </c>
      <c r="J199" s="1398">
        <f t="shared" si="127"/>
        <v>0</v>
      </c>
      <c r="K199" s="1398">
        <f t="shared" si="127"/>
        <v>0</v>
      </c>
      <c r="L199" s="1398">
        <f>+SUM(L200:L203)</f>
        <v>0.44999999999999996</v>
      </c>
      <c r="M199" s="1398">
        <f t="shared" si="127"/>
        <v>0</v>
      </c>
      <c r="N199" s="1398">
        <f t="shared" si="127"/>
        <v>0</v>
      </c>
      <c r="O199" s="1398">
        <f t="shared" si="127"/>
        <v>0</v>
      </c>
      <c r="P199" s="1398">
        <f t="shared" si="127"/>
        <v>0</v>
      </c>
      <c r="Q199" s="1398">
        <f t="shared" si="127"/>
        <v>0</v>
      </c>
      <c r="R199" s="1398">
        <f t="shared" si="127"/>
        <v>2100</v>
      </c>
      <c r="S199" s="1398">
        <f t="shared" si="127"/>
        <v>2100</v>
      </c>
      <c r="T199" s="1398">
        <f t="shared" si="127"/>
        <v>0</v>
      </c>
    </row>
    <row r="200" spans="1:21" s="1467" customFormat="1" ht="60">
      <c r="A200" s="1472"/>
      <c r="B200" s="1473" t="s">
        <v>1203</v>
      </c>
      <c r="C200" s="1435">
        <f>+D200+H200</f>
        <v>189.09070199999999</v>
      </c>
      <c r="D200" s="1435">
        <f>SUM(E200:G200)</f>
        <v>189.09070199999999</v>
      </c>
      <c r="E200" s="1435">
        <v>189.09070199999999</v>
      </c>
      <c r="F200" s="1435"/>
      <c r="G200" s="1435"/>
      <c r="H200" s="1416">
        <f>+I200+J200+K200+L200+M200-N200-O200</f>
        <v>0</v>
      </c>
      <c r="I200" s="1449"/>
      <c r="J200" s="1449"/>
      <c r="K200" s="1449"/>
      <c r="L200" s="1449"/>
      <c r="M200" s="1449"/>
      <c r="N200" s="1449"/>
      <c r="O200" s="1449"/>
      <c r="P200" s="1416"/>
      <c r="Q200" s="1416"/>
      <c r="R200" s="1416">
        <f>+C200-P200-Q200</f>
        <v>189.09070199999999</v>
      </c>
      <c r="S200" s="1416">
        <f>+R200</f>
        <v>189.09070199999999</v>
      </c>
      <c r="T200" s="1416"/>
      <c r="U200" s="1474"/>
    </row>
    <row r="201" spans="1:21" s="1417" customFormat="1" ht="24">
      <c r="A201" s="1411"/>
      <c r="B201" s="1423" t="s">
        <v>1206</v>
      </c>
      <c r="C201" s="1413">
        <f>+D201+H201</f>
        <v>43.391179999999999</v>
      </c>
      <c r="D201" s="1435">
        <f>SUM(E201:G201)</f>
        <v>0</v>
      </c>
      <c r="E201" s="1435"/>
      <c r="F201" s="1435"/>
      <c r="G201" s="1435"/>
      <c r="H201" s="1414">
        <f>+I201+J201+K201+L201+M201-N201-O201</f>
        <v>43.391179999999999</v>
      </c>
      <c r="I201" s="1415">
        <v>43.391179999999999</v>
      </c>
      <c r="J201" s="1415"/>
      <c r="K201" s="1449"/>
      <c r="L201" s="1415"/>
      <c r="M201" s="1449"/>
      <c r="N201" s="1449"/>
      <c r="O201" s="1449"/>
      <c r="P201" s="1414"/>
      <c r="Q201" s="1416"/>
      <c r="R201" s="1416">
        <f>+C201-P201-Q201</f>
        <v>43.391179999999999</v>
      </c>
      <c r="S201" s="1414">
        <f>+R201</f>
        <v>43.391179999999999</v>
      </c>
      <c r="T201" s="1414"/>
      <c r="U201" s="1418"/>
    </row>
    <row r="202" spans="1:21" s="1417" customFormat="1" ht="60">
      <c r="A202" s="1411"/>
      <c r="B202" s="1419" t="s">
        <v>1207</v>
      </c>
      <c r="C202" s="1413">
        <f t="shared" ref="C202:C203" si="128">+D202+H202</f>
        <v>47.002950000000006</v>
      </c>
      <c r="D202" s="1435">
        <f t="shared" ref="D202" si="129">SUM(E202:G202)</f>
        <v>46.552950000000003</v>
      </c>
      <c r="E202" s="1435">
        <f>155.1765*0.3</f>
        <v>46.552950000000003</v>
      </c>
      <c r="F202" s="1435"/>
      <c r="G202" s="1435"/>
      <c r="H202" s="1414">
        <f t="shared" ref="H202:H203" si="130">+I202+J202+K202+L202+M202-N202-O202</f>
        <v>0.44999999999999996</v>
      </c>
      <c r="I202" s="1415"/>
      <c r="J202" s="1415"/>
      <c r="K202" s="1449"/>
      <c r="L202" s="1415">
        <f>1.5*0.3</f>
        <v>0.44999999999999996</v>
      </c>
      <c r="M202" s="1449"/>
      <c r="N202" s="1449"/>
      <c r="O202" s="1449"/>
      <c r="P202" s="1414"/>
      <c r="Q202" s="1416"/>
      <c r="R202" s="1416">
        <f t="shared" ref="R202" si="131">+C202-P202-Q202</f>
        <v>47.002950000000006</v>
      </c>
      <c r="S202" s="1414">
        <f>+R202</f>
        <v>47.002950000000006</v>
      </c>
      <c r="T202" s="1414"/>
      <c r="U202" s="1418"/>
    </row>
    <row r="203" spans="1:21" s="1417" customFormat="1" ht="37.9" customHeight="1">
      <c r="A203" s="1411"/>
      <c r="B203" s="1419" t="s">
        <v>1209</v>
      </c>
      <c r="C203" s="1413">
        <f t="shared" si="128"/>
        <v>1820.5151679999999</v>
      </c>
      <c r="D203" s="1435"/>
      <c r="E203" s="1435"/>
      <c r="F203" s="1435"/>
      <c r="G203" s="1435"/>
      <c r="H203" s="1414">
        <f t="shared" si="130"/>
        <v>1820.5151679999999</v>
      </c>
      <c r="I203" s="1416">
        <v>1820.5151679999999</v>
      </c>
      <c r="J203" s="1415"/>
      <c r="K203" s="1449"/>
      <c r="L203" s="1415"/>
      <c r="M203" s="1449"/>
      <c r="N203" s="1449"/>
      <c r="O203" s="1449"/>
      <c r="P203" s="1414"/>
      <c r="Q203" s="1416"/>
      <c r="R203" s="1416">
        <f>2100-R202-R201-R200</f>
        <v>1820.5151679999999</v>
      </c>
      <c r="S203" s="1414">
        <f>+R203</f>
        <v>1820.5151679999999</v>
      </c>
      <c r="T203" s="1414"/>
      <c r="U203" s="1418"/>
    </row>
    <row r="204" spans="1:21" s="1401" customFormat="1" ht="16.5" customHeight="1">
      <c r="A204" s="1395">
        <v>36</v>
      </c>
      <c r="B204" s="1396" t="s">
        <v>446</v>
      </c>
      <c r="C204" s="1398">
        <f>+D204+H204</f>
        <v>51571.435894000002</v>
      </c>
      <c r="D204" s="1398">
        <f>SUM(E204:G204)</f>
        <v>1092.096133</v>
      </c>
      <c r="E204" s="1399">
        <f>300+792.096133</f>
        <v>1092.096133</v>
      </c>
      <c r="F204" s="1399"/>
      <c r="G204" s="1399"/>
      <c r="H204" s="1397">
        <f>+I204+J204+K204+L204+M204-N204-O204</f>
        <v>50479.339761000003</v>
      </c>
      <c r="I204" s="1399">
        <f>+'49'!C28-I199-I190-I191-I170-I169-I166-I165-I164-I163-I162-I161-I160-I159-I158-498</f>
        <v>50844.339761000003</v>
      </c>
      <c r="J204" s="1399">
        <v>0</v>
      </c>
      <c r="K204" s="1399"/>
      <c r="L204" s="1399"/>
      <c r="M204" s="1399"/>
      <c r="N204" s="1399"/>
      <c r="O204" s="1399">
        <v>365</v>
      </c>
      <c r="P204" s="1397">
        <f>+C204-S204</f>
        <v>50971.060833000003</v>
      </c>
      <c r="Q204" s="1397"/>
      <c r="R204" s="1397">
        <f>+C204-P204-Q204</f>
        <v>600.37506099999882</v>
      </c>
      <c r="S204" s="1397">
        <v>600.37506099999996</v>
      </c>
      <c r="T204" s="1403"/>
    </row>
    <row r="205" spans="1:21" s="1401" customFormat="1" ht="16.5" customHeight="1">
      <c r="A205" s="1395">
        <v>37</v>
      </c>
      <c r="B205" s="1396" t="s">
        <v>1210</v>
      </c>
      <c r="C205" s="1398">
        <f>+D205+H205</f>
        <v>179.822</v>
      </c>
      <c r="D205" s="1398">
        <f>SUM(E205:G205)</f>
        <v>179.822</v>
      </c>
      <c r="E205" s="1399">
        <v>179.822</v>
      </c>
      <c r="F205" s="1399"/>
      <c r="G205" s="1399"/>
      <c r="H205" s="1397">
        <f>+I205+J205+K205+L205+M205-N205-O205</f>
        <v>0</v>
      </c>
      <c r="I205" s="1399"/>
      <c r="J205" s="1399"/>
      <c r="K205" s="1399"/>
      <c r="L205" s="1399"/>
      <c r="M205" s="1399"/>
      <c r="N205" s="1399"/>
      <c r="O205" s="1399"/>
      <c r="P205" s="1397"/>
      <c r="Q205" s="1397">
        <v>179.822</v>
      </c>
      <c r="R205" s="1397">
        <f>+C205-P205-Q205</f>
        <v>0</v>
      </c>
      <c r="S205" s="1397"/>
      <c r="T205" s="1403"/>
      <c r="U205" s="1420"/>
    </row>
    <row r="206" spans="1:21">
      <c r="D206" s="1443"/>
      <c r="I206" s="1424"/>
    </row>
  </sheetData>
  <mergeCells count="29">
    <mergeCell ref="A3:T3"/>
    <mergeCell ref="A5:A8"/>
    <mergeCell ref="B5:B8"/>
    <mergeCell ref="C5:C8"/>
    <mergeCell ref="T7:T8"/>
    <mergeCell ref="L7:L8"/>
    <mergeCell ref="O7:O8"/>
    <mergeCell ref="D6:D8"/>
    <mergeCell ref="F7:F8"/>
    <mergeCell ref="G7:G8"/>
    <mergeCell ref="I7:I8"/>
    <mergeCell ref="J7:J8"/>
    <mergeCell ref="K7:K8"/>
    <mergeCell ref="S1:T1"/>
    <mergeCell ref="R4:T4"/>
    <mergeCell ref="M7:N7"/>
    <mergeCell ref="S7:S8"/>
    <mergeCell ref="A2:T2"/>
    <mergeCell ref="D5:G5"/>
    <mergeCell ref="H5:O5"/>
    <mergeCell ref="P5:P8"/>
    <mergeCell ref="Q5:Q8"/>
    <mergeCell ref="R5:T5"/>
    <mergeCell ref="E6:G6"/>
    <mergeCell ref="H6:H8"/>
    <mergeCell ref="I6:O6"/>
    <mergeCell ref="R6:R8"/>
    <mergeCell ref="S6:T6"/>
    <mergeCell ref="E7:E8"/>
  </mergeCells>
  <phoneticPr fontId="31" type="noConversion"/>
  <printOptions horizontalCentered="1"/>
  <pageMargins left="0" right="0" top="0.76" bottom="0.34" header="0.6" footer="0.19"/>
  <pageSetup paperSize="8" scale="90" orientation="landscape" r:id="rId1"/>
  <headerFooter alignWithMargins="0"/>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O35"/>
  <sheetViews>
    <sheetView view="pageBreakPreview" topLeftCell="A14" zoomScale="60" zoomScaleNormal="100" workbookViewId="0">
      <selection activeCell="C6" sqref="C6"/>
    </sheetView>
  </sheetViews>
  <sheetFormatPr defaultRowHeight="12.75"/>
  <cols>
    <col min="1" max="1" width="5.42578125" style="412" customWidth="1"/>
    <col min="2" max="2" width="45.7109375" style="412" customWidth="1"/>
    <col min="3" max="3" width="35.140625" style="412" customWidth="1"/>
    <col min="4" max="5" width="20.140625" style="412" customWidth="1"/>
    <col min="6" max="6" width="20.140625" style="412" hidden="1" customWidth="1"/>
    <col min="7" max="7" width="20.140625" style="412" customWidth="1"/>
    <col min="8" max="8" width="22.140625" style="487" hidden="1" customWidth="1"/>
    <col min="9" max="9" width="21.28515625" style="412" hidden="1" customWidth="1"/>
    <col min="10" max="10" width="20.7109375" style="412" hidden="1" customWidth="1"/>
    <col min="11" max="11" width="13" style="412" hidden="1" customWidth="1"/>
    <col min="12" max="12" width="0" style="412" hidden="1" customWidth="1"/>
    <col min="13" max="13" width="14.7109375" style="412" customWidth="1"/>
    <col min="14" max="14" width="14.5703125" style="412" customWidth="1"/>
    <col min="15" max="256" width="9.140625" style="412"/>
    <col min="257" max="257" width="5.42578125" style="412" customWidth="1"/>
    <col min="258" max="258" width="45.7109375" style="412" customWidth="1"/>
    <col min="259" max="259" width="35.140625" style="412" customWidth="1"/>
    <col min="260" max="261" width="20.140625" style="412" customWidth="1"/>
    <col min="262" max="262" width="0" style="412" hidden="1" customWidth="1"/>
    <col min="263" max="263" width="20.140625" style="412" customWidth="1"/>
    <col min="264" max="268" width="0" style="412" hidden="1" customWidth="1"/>
    <col min="269" max="269" width="14.7109375" style="412" customWidth="1"/>
    <col min="270" max="270" width="14.5703125" style="412" customWidth="1"/>
    <col min="271" max="512" width="9.140625" style="412"/>
    <col min="513" max="513" width="5.42578125" style="412" customWidth="1"/>
    <col min="514" max="514" width="45.7109375" style="412" customWidth="1"/>
    <col min="515" max="515" width="35.140625" style="412" customWidth="1"/>
    <col min="516" max="517" width="20.140625" style="412" customWidth="1"/>
    <col min="518" max="518" width="0" style="412" hidden="1" customWidth="1"/>
    <col min="519" max="519" width="20.140625" style="412" customWidth="1"/>
    <col min="520" max="524" width="0" style="412" hidden="1" customWidth="1"/>
    <col min="525" max="525" width="14.7109375" style="412" customWidth="1"/>
    <col min="526" max="526" width="14.5703125" style="412" customWidth="1"/>
    <col min="527" max="768" width="9.140625" style="412"/>
    <col min="769" max="769" width="5.42578125" style="412" customWidth="1"/>
    <col min="770" max="770" width="45.7109375" style="412" customWidth="1"/>
    <col min="771" max="771" width="35.140625" style="412" customWidth="1"/>
    <col min="772" max="773" width="20.140625" style="412" customWidth="1"/>
    <col min="774" max="774" width="0" style="412" hidden="1" customWidth="1"/>
    <col min="775" max="775" width="20.140625" style="412" customWidth="1"/>
    <col min="776" max="780" width="0" style="412" hidden="1" customWidth="1"/>
    <col min="781" max="781" width="14.7109375" style="412" customWidth="1"/>
    <col min="782" max="782" width="14.5703125" style="412" customWidth="1"/>
    <col min="783" max="1024" width="9.140625" style="412"/>
    <col min="1025" max="1025" width="5.42578125" style="412" customWidth="1"/>
    <col min="1026" max="1026" width="45.7109375" style="412" customWidth="1"/>
    <col min="1027" max="1027" width="35.140625" style="412" customWidth="1"/>
    <col min="1028" max="1029" width="20.140625" style="412" customWidth="1"/>
    <col min="1030" max="1030" width="0" style="412" hidden="1" customWidth="1"/>
    <col min="1031" max="1031" width="20.140625" style="412" customWidth="1"/>
    <col min="1032" max="1036" width="0" style="412" hidden="1" customWidth="1"/>
    <col min="1037" max="1037" width="14.7109375" style="412" customWidth="1"/>
    <col min="1038" max="1038" width="14.5703125" style="412" customWidth="1"/>
    <col min="1039" max="1280" width="9.140625" style="412"/>
    <col min="1281" max="1281" width="5.42578125" style="412" customWidth="1"/>
    <col min="1282" max="1282" width="45.7109375" style="412" customWidth="1"/>
    <col min="1283" max="1283" width="35.140625" style="412" customWidth="1"/>
    <col min="1284" max="1285" width="20.140625" style="412" customWidth="1"/>
    <col min="1286" max="1286" width="0" style="412" hidden="1" customWidth="1"/>
    <col min="1287" max="1287" width="20.140625" style="412" customWidth="1"/>
    <col min="1288" max="1292" width="0" style="412" hidden="1" customWidth="1"/>
    <col min="1293" max="1293" width="14.7109375" style="412" customWidth="1"/>
    <col min="1294" max="1294" width="14.5703125" style="412" customWidth="1"/>
    <col min="1295" max="1536" width="9.140625" style="412"/>
    <col min="1537" max="1537" width="5.42578125" style="412" customWidth="1"/>
    <col min="1538" max="1538" width="45.7109375" style="412" customWidth="1"/>
    <col min="1539" max="1539" width="35.140625" style="412" customWidth="1"/>
    <col min="1540" max="1541" width="20.140625" style="412" customWidth="1"/>
    <col min="1542" max="1542" width="0" style="412" hidden="1" customWidth="1"/>
    <col min="1543" max="1543" width="20.140625" style="412" customWidth="1"/>
    <col min="1544" max="1548" width="0" style="412" hidden="1" customWidth="1"/>
    <col min="1549" max="1549" width="14.7109375" style="412" customWidth="1"/>
    <col min="1550" max="1550" width="14.5703125" style="412" customWidth="1"/>
    <col min="1551" max="1792" width="9.140625" style="412"/>
    <col min="1793" max="1793" width="5.42578125" style="412" customWidth="1"/>
    <col min="1794" max="1794" width="45.7109375" style="412" customWidth="1"/>
    <col min="1795" max="1795" width="35.140625" style="412" customWidth="1"/>
    <col min="1796" max="1797" width="20.140625" style="412" customWidth="1"/>
    <col min="1798" max="1798" width="0" style="412" hidden="1" customWidth="1"/>
    <col min="1799" max="1799" width="20.140625" style="412" customWidth="1"/>
    <col min="1800" max="1804" width="0" style="412" hidden="1" customWidth="1"/>
    <col min="1805" max="1805" width="14.7109375" style="412" customWidth="1"/>
    <col min="1806" max="1806" width="14.5703125" style="412" customWidth="1"/>
    <col min="1807" max="2048" width="9.140625" style="412"/>
    <col min="2049" max="2049" width="5.42578125" style="412" customWidth="1"/>
    <col min="2050" max="2050" width="45.7109375" style="412" customWidth="1"/>
    <col min="2051" max="2051" width="35.140625" style="412" customWidth="1"/>
    <col min="2052" max="2053" width="20.140625" style="412" customWidth="1"/>
    <col min="2054" max="2054" width="0" style="412" hidden="1" customWidth="1"/>
    <col min="2055" max="2055" width="20.140625" style="412" customWidth="1"/>
    <col min="2056" max="2060" width="0" style="412" hidden="1" customWidth="1"/>
    <col min="2061" max="2061" width="14.7109375" style="412" customWidth="1"/>
    <col min="2062" max="2062" width="14.5703125" style="412" customWidth="1"/>
    <col min="2063" max="2304" width="9.140625" style="412"/>
    <col min="2305" max="2305" width="5.42578125" style="412" customWidth="1"/>
    <col min="2306" max="2306" width="45.7109375" style="412" customWidth="1"/>
    <col min="2307" max="2307" width="35.140625" style="412" customWidth="1"/>
    <col min="2308" max="2309" width="20.140625" style="412" customWidth="1"/>
    <col min="2310" max="2310" width="0" style="412" hidden="1" customWidth="1"/>
    <col min="2311" max="2311" width="20.140625" style="412" customWidth="1"/>
    <col min="2312" max="2316" width="0" style="412" hidden="1" customWidth="1"/>
    <col min="2317" max="2317" width="14.7109375" style="412" customWidth="1"/>
    <col min="2318" max="2318" width="14.5703125" style="412" customWidth="1"/>
    <col min="2319" max="2560" width="9.140625" style="412"/>
    <col min="2561" max="2561" width="5.42578125" style="412" customWidth="1"/>
    <col min="2562" max="2562" width="45.7109375" style="412" customWidth="1"/>
    <col min="2563" max="2563" width="35.140625" style="412" customWidth="1"/>
    <col min="2564" max="2565" width="20.140625" style="412" customWidth="1"/>
    <col min="2566" max="2566" width="0" style="412" hidden="1" customWidth="1"/>
    <col min="2567" max="2567" width="20.140625" style="412" customWidth="1"/>
    <col min="2568" max="2572" width="0" style="412" hidden="1" customWidth="1"/>
    <col min="2573" max="2573" width="14.7109375" style="412" customWidth="1"/>
    <col min="2574" max="2574" width="14.5703125" style="412" customWidth="1"/>
    <col min="2575" max="2816" width="9.140625" style="412"/>
    <col min="2817" max="2817" width="5.42578125" style="412" customWidth="1"/>
    <col min="2818" max="2818" width="45.7109375" style="412" customWidth="1"/>
    <col min="2819" max="2819" width="35.140625" style="412" customWidth="1"/>
    <col min="2820" max="2821" width="20.140625" style="412" customWidth="1"/>
    <col min="2822" max="2822" width="0" style="412" hidden="1" customWidth="1"/>
    <col min="2823" max="2823" width="20.140625" style="412" customWidth="1"/>
    <col min="2824" max="2828" width="0" style="412" hidden="1" customWidth="1"/>
    <col min="2829" max="2829" width="14.7109375" style="412" customWidth="1"/>
    <col min="2830" max="2830" width="14.5703125" style="412" customWidth="1"/>
    <col min="2831" max="3072" width="9.140625" style="412"/>
    <col min="3073" max="3073" width="5.42578125" style="412" customWidth="1"/>
    <col min="3074" max="3074" width="45.7109375" style="412" customWidth="1"/>
    <col min="3075" max="3075" width="35.140625" style="412" customWidth="1"/>
    <col min="3076" max="3077" width="20.140625" style="412" customWidth="1"/>
    <col min="3078" max="3078" width="0" style="412" hidden="1" customWidth="1"/>
    <col min="3079" max="3079" width="20.140625" style="412" customWidth="1"/>
    <col min="3080" max="3084" width="0" style="412" hidden="1" customWidth="1"/>
    <col min="3085" max="3085" width="14.7109375" style="412" customWidth="1"/>
    <col min="3086" max="3086" width="14.5703125" style="412" customWidth="1"/>
    <col min="3087" max="3328" width="9.140625" style="412"/>
    <col min="3329" max="3329" width="5.42578125" style="412" customWidth="1"/>
    <col min="3330" max="3330" width="45.7109375" style="412" customWidth="1"/>
    <col min="3331" max="3331" width="35.140625" style="412" customWidth="1"/>
    <col min="3332" max="3333" width="20.140625" style="412" customWidth="1"/>
    <col min="3334" max="3334" width="0" style="412" hidden="1" customWidth="1"/>
    <col min="3335" max="3335" width="20.140625" style="412" customWidth="1"/>
    <col min="3336" max="3340" width="0" style="412" hidden="1" customWidth="1"/>
    <col min="3341" max="3341" width="14.7109375" style="412" customWidth="1"/>
    <col min="3342" max="3342" width="14.5703125" style="412" customWidth="1"/>
    <col min="3343" max="3584" width="9.140625" style="412"/>
    <col min="3585" max="3585" width="5.42578125" style="412" customWidth="1"/>
    <col min="3586" max="3586" width="45.7109375" style="412" customWidth="1"/>
    <col min="3587" max="3587" width="35.140625" style="412" customWidth="1"/>
    <col min="3588" max="3589" width="20.140625" style="412" customWidth="1"/>
    <col min="3590" max="3590" width="0" style="412" hidden="1" customWidth="1"/>
    <col min="3591" max="3591" width="20.140625" style="412" customWidth="1"/>
    <col min="3592" max="3596" width="0" style="412" hidden="1" customWidth="1"/>
    <col min="3597" max="3597" width="14.7109375" style="412" customWidth="1"/>
    <col min="3598" max="3598" width="14.5703125" style="412" customWidth="1"/>
    <col min="3599" max="3840" width="9.140625" style="412"/>
    <col min="3841" max="3841" width="5.42578125" style="412" customWidth="1"/>
    <col min="3842" max="3842" width="45.7109375" style="412" customWidth="1"/>
    <col min="3843" max="3843" width="35.140625" style="412" customWidth="1"/>
    <col min="3844" max="3845" width="20.140625" style="412" customWidth="1"/>
    <col min="3846" max="3846" width="0" style="412" hidden="1" customWidth="1"/>
    <col min="3847" max="3847" width="20.140625" style="412" customWidth="1"/>
    <col min="3848" max="3852" width="0" style="412" hidden="1" customWidth="1"/>
    <col min="3853" max="3853" width="14.7109375" style="412" customWidth="1"/>
    <col min="3854" max="3854" width="14.5703125" style="412" customWidth="1"/>
    <col min="3855" max="4096" width="9.140625" style="412"/>
    <col min="4097" max="4097" width="5.42578125" style="412" customWidth="1"/>
    <col min="4098" max="4098" width="45.7109375" style="412" customWidth="1"/>
    <col min="4099" max="4099" width="35.140625" style="412" customWidth="1"/>
    <col min="4100" max="4101" width="20.140625" style="412" customWidth="1"/>
    <col min="4102" max="4102" width="0" style="412" hidden="1" customWidth="1"/>
    <col min="4103" max="4103" width="20.140625" style="412" customWidth="1"/>
    <col min="4104" max="4108" width="0" style="412" hidden="1" customWidth="1"/>
    <col min="4109" max="4109" width="14.7109375" style="412" customWidth="1"/>
    <col min="4110" max="4110" width="14.5703125" style="412" customWidth="1"/>
    <col min="4111" max="4352" width="9.140625" style="412"/>
    <col min="4353" max="4353" width="5.42578125" style="412" customWidth="1"/>
    <col min="4354" max="4354" width="45.7109375" style="412" customWidth="1"/>
    <col min="4355" max="4355" width="35.140625" style="412" customWidth="1"/>
    <col min="4356" max="4357" width="20.140625" style="412" customWidth="1"/>
    <col min="4358" max="4358" width="0" style="412" hidden="1" customWidth="1"/>
    <col min="4359" max="4359" width="20.140625" style="412" customWidth="1"/>
    <col min="4360" max="4364" width="0" style="412" hidden="1" customWidth="1"/>
    <col min="4365" max="4365" width="14.7109375" style="412" customWidth="1"/>
    <col min="4366" max="4366" width="14.5703125" style="412" customWidth="1"/>
    <col min="4367" max="4608" width="9.140625" style="412"/>
    <col min="4609" max="4609" width="5.42578125" style="412" customWidth="1"/>
    <col min="4610" max="4610" width="45.7109375" style="412" customWidth="1"/>
    <col min="4611" max="4611" width="35.140625" style="412" customWidth="1"/>
    <col min="4612" max="4613" width="20.140625" style="412" customWidth="1"/>
    <col min="4614" max="4614" width="0" style="412" hidden="1" customWidth="1"/>
    <col min="4615" max="4615" width="20.140625" style="412" customWidth="1"/>
    <col min="4616" max="4620" width="0" style="412" hidden="1" customWidth="1"/>
    <col min="4621" max="4621" width="14.7109375" style="412" customWidth="1"/>
    <col min="4622" max="4622" width="14.5703125" style="412" customWidth="1"/>
    <col min="4623" max="4864" width="9.140625" style="412"/>
    <col min="4865" max="4865" width="5.42578125" style="412" customWidth="1"/>
    <col min="4866" max="4866" width="45.7109375" style="412" customWidth="1"/>
    <col min="4867" max="4867" width="35.140625" style="412" customWidth="1"/>
    <col min="4868" max="4869" width="20.140625" style="412" customWidth="1"/>
    <col min="4870" max="4870" width="0" style="412" hidden="1" customWidth="1"/>
    <col min="4871" max="4871" width="20.140625" style="412" customWidth="1"/>
    <col min="4872" max="4876" width="0" style="412" hidden="1" customWidth="1"/>
    <col min="4877" max="4877" width="14.7109375" style="412" customWidth="1"/>
    <col min="4878" max="4878" width="14.5703125" style="412" customWidth="1"/>
    <col min="4879" max="5120" width="9.140625" style="412"/>
    <col min="5121" max="5121" width="5.42578125" style="412" customWidth="1"/>
    <col min="5122" max="5122" width="45.7109375" style="412" customWidth="1"/>
    <col min="5123" max="5123" width="35.140625" style="412" customWidth="1"/>
    <col min="5124" max="5125" width="20.140625" style="412" customWidth="1"/>
    <col min="5126" max="5126" width="0" style="412" hidden="1" customWidth="1"/>
    <col min="5127" max="5127" width="20.140625" style="412" customWidth="1"/>
    <col min="5128" max="5132" width="0" style="412" hidden="1" customWidth="1"/>
    <col min="5133" max="5133" width="14.7109375" style="412" customWidth="1"/>
    <col min="5134" max="5134" width="14.5703125" style="412" customWidth="1"/>
    <col min="5135" max="5376" width="9.140625" style="412"/>
    <col min="5377" max="5377" width="5.42578125" style="412" customWidth="1"/>
    <col min="5378" max="5378" width="45.7109375" style="412" customWidth="1"/>
    <col min="5379" max="5379" width="35.140625" style="412" customWidth="1"/>
    <col min="5380" max="5381" width="20.140625" style="412" customWidth="1"/>
    <col min="5382" max="5382" width="0" style="412" hidden="1" customWidth="1"/>
    <col min="5383" max="5383" width="20.140625" style="412" customWidth="1"/>
    <col min="5384" max="5388" width="0" style="412" hidden="1" customWidth="1"/>
    <col min="5389" max="5389" width="14.7109375" style="412" customWidth="1"/>
    <col min="5390" max="5390" width="14.5703125" style="412" customWidth="1"/>
    <col min="5391" max="5632" width="9.140625" style="412"/>
    <col min="5633" max="5633" width="5.42578125" style="412" customWidth="1"/>
    <col min="5634" max="5634" width="45.7109375" style="412" customWidth="1"/>
    <col min="5635" max="5635" width="35.140625" style="412" customWidth="1"/>
    <col min="5636" max="5637" width="20.140625" style="412" customWidth="1"/>
    <col min="5638" max="5638" width="0" style="412" hidden="1" customWidth="1"/>
    <col min="5639" max="5639" width="20.140625" style="412" customWidth="1"/>
    <col min="5640" max="5644" width="0" style="412" hidden="1" customWidth="1"/>
    <col min="5645" max="5645" width="14.7109375" style="412" customWidth="1"/>
    <col min="5646" max="5646" width="14.5703125" style="412" customWidth="1"/>
    <col min="5647" max="5888" width="9.140625" style="412"/>
    <col min="5889" max="5889" width="5.42578125" style="412" customWidth="1"/>
    <col min="5890" max="5890" width="45.7109375" style="412" customWidth="1"/>
    <col min="5891" max="5891" width="35.140625" style="412" customWidth="1"/>
    <col min="5892" max="5893" width="20.140625" style="412" customWidth="1"/>
    <col min="5894" max="5894" width="0" style="412" hidden="1" customWidth="1"/>
    <col min="5895" max="5895" width="20.140625" style="412" customWidth="1"/>
    <col min="5896" max="5900" width="0" style="412" hidden="1" customWidth="1"/>
    <col min="5901" max="5901" width="14.7109375" style="412" customWidth="1"/>
    <col min="5902" max="5902" width="14.5703125" style="412" customWidth="1"/>
    <col min="5903" max="6144" width="9.140625" style="412"/>
    <col min="6145" max="6145" width="5.42578125" style="412" customWidth="1"/>
    <col min="6146" max="6146" width="45.7109375" style="412" customWidth="1"/>
    <col min="6147" max="6147" width="35.140625" style="412" customWidth="1"/>
    <col min="6148" max="6149" width="20.140625" style="412" customWidth="1"/>
    <col min="6150" max="6150" width="0" style="412" hidden="1" customWidth="1"/>
    <col min="6151" max="6151" width="20.140625" style="412" customWidth="1"/>
    <col min="6152" max="6156" width="0" style="412" hidden="1" customWidth="1"/>
    <col min="6157" max="6157" width="14.7109375" style="412" customWidth="1"/>
    <col min="6158" max="6158" width="14.5703125" style="412" customWidth="1"/>
    <col min="6159" max="6400" width="9.140625" style="412"/>
    <col min="6401" max="6401" width="5.42578125" style="412" customWidth="1"/>
    <col min="6402" max="6402" width="45.7109375" style="412" customWidth="1"/>
    <col min="6403" max="6403" width="35.140625" style="412" customWidth="1"/>
    <col min="6404" max="6405" width="20.140625" style="412" customWidth="1"/>
    <col min="6406" max="6406" width="0" style="412" hidden="1" customWidth="1"/>
    <col min="6407" max="6407" width="20.140625" style="412" customWidth="1"/>
    <col min="6408" max="6412" width="0" style="412" hidden="1" customWidth="1"/>
    <col min="6413" max="6413" width="14.7109375" style="412" customWidth="1"/>
    <col min="6414" max="6414" width="14.5703125" style="412" customWidth="1"/>
    <col min="6415" max="6656" width="9.140625" style="412"/>
    <col min="6657" max="6657" width="5.42578125" style="412" customWidth="1"/>
    <col min="6658" max="6658" width="45.7109375" style="412" customWidth="1"/>
    <col min="6659" max="6659" width="35.140625" style="412" customWidth="1"/>
    <col min="6660" max="6661" width="20.140625" style="412" customWidth="1"/>
    <col min="6662" max="6662" width="0" style="412" hidden="1" customWidth="1"/>
    <col min="6663" max="6663" width="20.140625" style="412" customWidth="1"/>
    <col min="6664" max="6668" width="0" style="412" hidden="1" customWidth="1"/>
    <col min="6669" max="6669" width="14.7109375" style="412" customWidth="1"/>
    <col min="6670" max="6670" width="14.5703125" style="412" customWidth="1"/>
    <col min="6671" max="6912" width="9.140625" style="412"/>
    <col min="6913" max="6913" width="5.42578125" style="412" customWidth="1"/>
    <col min="6914" max="6914" width="45.7109375" style="412" customWidth="1"/>
    <col min="6915" max="6915" width="35.140625" style="412" customWidth="1"/>
    <col min="6916" max="6917" width="20.140625" style="412" customWidth="1"/>
    <col min="6918" max="6918" width="0" style="412" hidden="1" customWidth="1"/>
    <col min="6919" max="6919" width="20.140625" style="412" customWidth="1"/>
    <col min="6920" max="6924" width="0" style="412" hidden="1" customWidth="1"/>
    <col min="6925" max="6925" width="14.7109375" style="412" customWidth="1"/>
    <col min="6926" max="6926" width="14.5703125" style="412" customWidth="1"/>
    <col min="6927" max="7168" width="9.140625" style="412"/>
    <col min="7169" max="7169" width="5.42578125" style="412" customWidth="1"/>
    <col min="7170" max="7170" width="45.7109375" style="412" customWidth="1"/>
    <col min="7171" max="7171" width="35.140625" style="412" customWidth="1"/>
    <col min="7172" max="7173" width="20.140625" style="412" customWidth="1"/>
    <col min="7174" max="7174" width="0" style="412" hidden="1" customWidth="1"/>
    <col min="7175" max="7175" width="20.140625" style="412" customWidth="1"/>
    <col min="7176" max="7180" width="0" style="412" hidden="1" customWidth="1"/>
    <col min="7181" max="7181" width="14.7109375" style="412" customWidth="1"/>
    <col min="7182" max="7182" width="14.5703125" style="412" customWidth="1"/>
    <col min="7183" max="7424" width="9.140625" style="412"/>
    <col min="7425" max="7425" width="5.42578125" style="412" customWidth="1"/>
    <col min="7426" max="7426" width="45.7109375" style="412" customWidth="1"/>
    <col min="7427" max="7427" width="35.140625" style="412" customWidth="1"/>
    <col min="7428" max="7429" width="20.140625" style="412" customWidth="1"/>
    <col min="7430" max="7430" width="0" style="412" hidden="1" customWidth="1"/>
    <col min="7431" max="7431" width="20.140625" style="412" customWidth="1"/>
    <col min="7432" max="7436" width="0" style="412" hidden="1" customWidth="1"/>
    <col min="7437" max="7437" width="14.7109375" style="412" customWidth="1"/>
    <col min="7438" max="7438" width="14.5703125" style="412" customWidth="1"/>
    <col min="7439" max="7680" width="9.140625" style="412"/>
    <col min="7681" max="7681" width="5.42578125" style="412" customWidth="1"/>
    <col min="7682" max="7682" width="45.7109375" style="412" customWidth="1"/>
    <col min="7683" max="7683" width="35.140625" style="412" customWidth="1"/>
    <col min="7684" max="7685" width="20.140625" style="412" customWidth="1"/>
    <col min="7686" max="7686" width="0" style="412" hidden="1" customWidth="1"/>
    <col min="7687" max="7687" width="20.140625" style="412" customWidth="1"/>
    <col min="7688" max="7692" width="0" style="412" hidden="1" customWidth="1"/>
    <col min="7693" max="7693" width="14.7109375" style="412" customWidth="1"/>
    <col min="7694" max="7694" width="14.5703125" style="412" customWidth="1"/>
    <col min="7695" max="7936" width="9.140625" style="412"/>
    <col min="7937" max="7937" width="5.42578125" style="412" customWidth="1"/>
    <col min="7938" max="7938" width="45.7109375" style="412" customWidth="1"/>
    <col min="7939" max="7939" width="35.140625" style="412" customWidth="1"/>
    <col min="7940" max="7941" width="20.140625" style="412" customWidth="1"/>
    <col min="7942" max="7942" width="0" style="412" hidden="1" customWidth="1"/>
    <col min="7943" max="7943" width="20.140625" style="412" customWidth="1"/>
    <col min="7944" max="7948" width="0" style="412" hidden="1" customWidth="1"/>
    <col min="7949" max="7949" width="14.7109375" style="412" customWidth="1"/>
    <col min="7950" max="7950" width="14.5703125" style="412" customWidth="1"/>
    <col min="7951" max="8192" width="9.140625" style="412"/>
    <col min="8193" max="8193" width="5.42578125" style="412" customWidth="1"/>
    <col min="8194" max="8194" width="45.7109375" style="412" customWidth="1"/>
    <col min="8195" max="8195" width="35.140625" style="412" customWidth="1"/>
    <col min="8196" max="8197" width="20.140625" style="412" customWidth="1"/>
    <col min="8198" max="8198" width="0" style="412" hidden="1" customWidth="1"/>
    <col min="8199" max="8199" width="20.140625" style="412" customWidth="1"/>
    <col min="8200" max="8204" width="0" style="412" hidden="1" customWidth="1"/>
    <col min="8205" max="8205" width="14.7109375" style="412" customWidth="1"/>
    <col min="8206" max="8206" width="14.5703125" style="412" customWidth="1"/>
    <col min="8207" max="8448" width="9.140625" style="412"/>
    <col min="8449" max="8449" width="5.42578125" style="412" customWidth="1"/>
    <col min="8450" max="8450" width="45.7109375" style="412" customWidth="1"/>
    <col min="8451" max="8451" width="35.140625" style="412" customWidth="1"/>
    <col min="8452" max="8453" width="20.140625" style="412" customWidth="1"/>
    <col min="8454" max="8454" width="0" style="412" hidden="1" customWidth="1"/>
    <col min="8455" max="8455" width="20.140625" style="412" customWidth="1"/>
    <col min="8456" max="8460" width="0" style="412" hidden="1" customWidth="1"/>
    <col min="8461" max="8461" width="14.7109375" style="412" customWidth="1"/>
    <col min="8462" max="8462" width="14.5703125" style="412" customWidth="1"/>
    <col min="8463" max="8704" width="9.140625" style="412"/>
    <col min="8705" max="8705" width="5.42578125" style="412" customWidth="1"/>
    <col min="8706" max="8706" width="45.7109375" style="412" customWidth="1"/>
    <col min="8707" max="8707" width="35.140625" style="412" customWidth="1"/>
    <col min="8708" max="8709" width="20.140625" style="412" customWidth="1"/>
    <col min="8710" max="8710" width="0" style="412" hidden="1" customWidth="1"/>
    <col min="8711" max="8711" width="20.140625" style="412" customWidth="1"/>
    <col min="8712" max="8716" width="0" style="412" hidden="1" customWidth="1"/>
    <col min="8717" max="8717" width="14.7109375" style="412" customWidth="1"/>
    <col min="8718" max="8718" width="14.5703125" style="412" customWidth="1"/>
    <col min="8719" max="8960" width="9.140625" style="412"/>
    <col min="8961" max="8961" width="5.42578125" style="412" customWidth="1"/>
    <col min="8962" max="8962" width="45.7109375" style="412" customWidth="1"/>
    <col min="8963" max="8963" width="35.140625" style="412" customWidth="1"/>
    <col min="8964" max="8965" width="20.140625" style="412" customWidth="1"/>
    <col min="8966" max="8966" width="0" style="412" hidden="1" customWidth="1"/>
    <col min="8967" max="8967" width="20.140625" style="412" customWidth="1"/>
    <col min="8968" max="8972" width="0" style="412" hidden="1" customWidth="1"/>
    <col min="8973" max="8973" width="14.7109375" style="412" customWidth="1"/>
    <col min="8974" max="8974" width="14.5703125" style="412" customWidth="1"/>
    <col min="8975" max="9216" width="9.140625" style="412"/>
    <col min="9217" max="9217" width="5.42578125" style="412" customWidth="1"/>
    <col min="9218" max="9218" width="45.7109375" style="412" customWidth="1"/>
    <col min="9219" max="9219" width="35.140625" style="412" customWidth="1"/>
    <col min="9220" max="9221" width="20.140625" style="412" customWidth="1"/>
    <col min="9222" max="9222" width="0" style="412" hidden="1" customWidth="1"/>
    <col min="9223" max="9223" width="20.140625" style="412" customWidth="1"/>
    <col min="9224" max="9228" width="0" style="412" hidden="1" customWidth="1"/>
    <col min="9229" max="9229" width="14.7109375" style="412" customWidth="1"/>
    <col min="9230" max="9230" width="14.5703125" style="412" customWidth="1"/>
    <col min="9231" max="9472" width="9.140625" style="412"/>
    <col min="9473" max="9473" width="5.42578125" style="412" customWidth="1"/>
    <col min="9474" max="9474" width="45.7109375" style="412" customWidth="1"/>
    <col min="9475" max="9475" width="35.140625" style="412" customWidth="1"/>
    <col min="9476" max="9477" width="20.140625" style="412" customWidth="1"/>
    <col min="9478" max="9478" width="0" style="412" hidden="1" customWidth="1"/>
    <col min="9479" max="9479" width="20.140625" style="412" customWidth="1"/>
    <col min="9480" max="9484" width="0" style="412" hidden="1" customWidth="1"/>
    <col min="9485" max="9485" width="14.7109375" style="412" customWidth="1"/>
    <col min="9486" max="9486" width="14.5703125" style="412" customWidth="1"/>
    <col min="9487" max="9728" width="9.140625" style="412"/>
    <col min="9729" max="9729" width="5.42578125" style="412" customWidth="1"/>
    <col min="9730" max="9730" width="45.7109375" style="412" customWidth="1"/>
    <col min="9731" max="9731" width="35.140625" style="412" customWidth="1"/>
    <col min="9732" max="9733" width="20.140625" style="412" customWidth="1"/>
    <col min="9734" max="9734" width="0" style="412" hidden="1" customWidth="1"/>
    <col min="9735" max="9735" width="20.140625" style="412" customWidth="1"/>
    <col min="9736" max="9740" width="0" style="412" hidden="1" customWidth="1"/>
    <col min="9741" max="9741" width="14.7109375" style="412" customWidth="1"/>
    <col min="9742" max="9742" width="14.5703125" style="412" customWidth="1"/>
    <col min="9743" max="9984" width="9.140625" style="412"/>
    <col min="9985" max="9985" width="5.42578125" style="412" customWidth="1"/>
    <col min="9986" max="9986" width="45.7109375" style="412" customWidth="1"/>
    <col min="9987" max="9987" width="35.140625" style="412" customWidth="1"/>
    <col min="9988" max="9989" width="20.140625" style="412" customWidth="1"/>
    <col min="9990" max="9990" width="0" style="412" hidden="1" customWidth="1"/>
    <col min="9991" max="9991" width="20.140625" style="412" customWidth="1"/>
    <col min="9992" max="9996" width="0" style="412" hidden="1" customWidth="1"/>
    <col min="9997" max="9997" width="14.7109375" style="412" customWidth="1"/>
    <col min="9998" max="9998" width="14.5703125" style="412" customWidth="1"/>
    <col min="9999" max="10240" width="9.140625" style="412"/>
    <col min="10241" max="10241" width="5.42578125" style="412" customWidth="1"/>
    <col min="10242" max="10242" width="45.7109375" style="412" customWidth="1"/>
    <col min="10243" max="10243" width="35.140625" style="412" customWidth="1"/>
    <col min="10244" max="10245" width="20.140625" style="412" customWidth="1"/>
    <col min="10246" max="10246" width="0" style="412" hidden="1" customWidth="1"/>
    <col min="10247" max="10247" width="20.140625" style="412" customWidth="1"/>
    <col min="10248" max="10252" width="0" style="412" hidden="1" customWidth="1"/>
    <col min="10253" max="10253" width="14.7109375" style="412" customWidth="1"/>
    <col min="10254" max="10254" width="14.5703125" style="412" customWidth="1"/>
    <col min="10255" max="10496" width="9.140625" style="412"/>
    <col min="10497" max="10497" width="5.42578125" style="412" customWidth="1"/>
    <col min="10498" max="10498" width="45.7109375" style="412" customWidth="1"/>
    <col min="10499" max="10499" width="35.140625" style="412" customWidth="1"/>
    <col min="10500" max="10501" width="20.140625" style="412" customWidth="1"/>
    <col min="10502" max="10502" width="0" style="412" hidden="1" customWidth="1"/>
    <col min="10503" max="10503" width="20.140625" style="412" customWidth="1"/>
    <col min="10504" max="10508" width="0" style="412" hidden="1" customWidth="1"/>
    <col min="10509" max="10509" width="14.7109375" style="412" customWidth="1"/>
    <col min="10510" max="10510" width="14.5703125" style="412" customWidth="1"/>
    <col min="10511" max="10752" width="9.140625" style="412"/>
    <col min="10753" max="10753" width="5.42578125" style="412" customWidth="1"/>
    <col min="10754" max="10754" width="45.7109375" style="412" customWidth="1"/>
    <col min="10755" max="10755" width="35.140625" style="412" customWidth="1"/>
    <col min="10756" max="10757" width="20.140625" style="412" customWidth="1"/>
    <col min="10758" max="10758" width="0" style="412" hidden="1" customWidth="1"/>
    <col min="10759" max="10759" width="20.140625" style="412" customWidth="1"/>
    <col min="10760" max="10764" width="0" style="412" hidden="1" customWidth="1"/>
    <col min="10765" max="10765" width="14.7109375" style="412" customWidth="1"/>
    <col min="10766" max="10766" width="14.5703125" style="412" customWidth="1"/>
    <col min="10767" max="11008" width="9.140625" style="412"/>
    <col min="11009" max="11009" width="5.42578125" style="412" customWidth="1"/>
    <col min="11010" max="11010" width="45.7109375" style="412" customWidth="1"/>
    <col min="11011" max="11011" width="35.140625" style="412" customWidth="1"/>
    <col min="11012" max="11013" width="20.140625" style="412" customWidth="1"/>
    <col min="11014" max="11014" width="0" style="412" hidden="1" customWidth="1"/>
    <col min="11015" max="11015" width="20.140625" style="412" customWidth="1"/>
    <col min="11016" max="11020" width="0" style="412" hidden="1" customWidth="1"/>
    <col min="11021" max="11021" width="14.7109375" style="412" customWidth="1"/>
    <col min="11022" max="11022" width="14.5703125" style="412" customWidth="1"/>
    <col min="11023" max="11264" width="9.140625" style="412"/>
    <col min="11265" max="11265" width="5.42578125" style="412" customWidth="1"/>
    <col min="11266" max="11266" width="45.7109375" style="412" customWidth="1"/>
    <col min="11267" max="11267" width="35.140625" style="412" customWidth="1"/>
    <col min="11268" max="11269" width="20.140625" style="412" customWidth="1"/>
    <col min="11270" max="11270" width="0" style="412" hidden="1" customWidth="1"/>
    <col min="11271" max="11271" width="20.140625" style="412" customWidth="1"/>
    <col min="11272" max="11276" width="0" style="412" hidden="1" customWidth="1"/>
    <col min="11277" max="11277" width="14.7109375" style="412" customWidth="1"/>
    <col min="11278" max="11278" width="14.5703125" style="412" customWidth="1"/>
    <col min="11279" max="11520" width="9.140625" style="412"/>
    <col min="11521" max="11521" width="5.42578125" style="412" customWidth="1"/>
    <col min="11522" max="11522" width="45.7109375" style="412" customWidth="1"/>
    <col min="11523" max="11523" width="35.140625" style="412" customWidth="1"/>
    <col min="11524" max="11525" width="20.140625" style="412" customWidth="1"/>
    <col min="11526" max="11526" width="0" style="412" hidden="1" customWidth="1"/>
    <col min="11527" max="11527" width="20.140625" style="412" customWidth="1"/>
    <col min="11528" max="11532" width="0" style="412" hidden="1" customWidth="1"/>
    <col min="11533" max="11533" width="14.7109375" style="412" customWidth="1"/>
    <col min="11534" max="11534" width="14.5703125" style="412" customWidth="1"/>
    <col min="11535" max="11776" width="9.140625" style="412"/>
    <col min="11777" max="11777" width="5.42578125" style="412" customWidth="1"/>
    <col min="11778" max="11778" width="45.7109375" style="412" customWidth="1"/>
    <col min="11779" max="11779" width="35.140625" style="412" customWidth="1"/>
    <col min="11780" max="11781" width="20.140625" style="412" customWidth="1"/>
    <col min="11782" max="11782" width="0" style="412" hidden="1" customWidth="1"/>
    <col min="11783" max="11783" width="20.140625" style="412" customWidth="1"/>
    <col min="11784" max="11788" width="0" style="412" hidden="1" customWidth="1"/>
    <col min="11789" max="11789" width="14.7109375" style="412" customWidth="1"/>
    <col min="11790" max="11790" width="14.5703125" style="412" customWidth="1"/>
    <col min="11791" max="12032" width="9.140625" style="412"/>
    <col min="12033" max="12033" width="5.42578125" style="412" customWidth="1"/>
    <col min="12034" max="12034" width="45.7109375" style="412" customWidth="1"/>
    <col min="12035" max="12035" width="35.140625" style="412" customWidth="1"/>
    <col min="12036" max="12037" width="20.140625" style="412" customWidth="1"/>
    <col min="12038" max="12038" width="0" style="412" hidden="1" customWidth="1"/>
    <col min="12039" max="12039" width="20.140625" style="412" customWidth="1"/>
    <col min="12040" max="12044" width="0" style="412" hidden="1" customWidth="1"/>
    <col min="12045" max="12045" width="14.7109375" style="412" customWidth="1"/>
    <col min="12046" max="12046" width="14.5703125" style="412" customWidth="1"/>
    <col min="12047" max="12288" width="9.140625" style="412"/>
    <col min="12289" max="12289" width="5.42578125" style="412" customWidth="1"/>
    <col min="12290" max="12290" width="45.7109375" style="412" customWidth="1"/>
    <col min="12291" max="12291" width="35.140625" style="412" customWidth="1"/>
    <col min="12292" max="12293" width="20.140625" style="412" customWidth="1"/>
    <col min="12294" max="12294" width="0" style="412" hidden="1" customWidth="1"/>
    <col min="12295" max="12295" width="20.140625" style="412" customWidth="1"/>
    <col min="12296" max="12300" width="0" style="412" hidden="1" customWidth="1"/>
    <col min="12301" max="12301" width="14.7109375" style="412" customWidth="1"/>
    <col min="12302" max="12302" width="14.5703125" style="412" customWidth="1"/>
    <col min="12303" max="12544" width="9.140625" style="412"/>
    <col min="12545" max="12545" width="5.42578125" style="412" customWidth="1"/>
    <col min="12546" max="12546" width="45.7109375" style="412" customWidth="1"/>
    <col min="12547" max="12547" width="35.140625" style="412" customWidth="1"/>
    <col min="12548" max="12549" width="20.140625" style="412" customWidth="1"/>
    <col min="12550" max="12550" width="0" style="412" hidden="1" customWidth="1"/>
    <col min="12551" max="12551" width="20.140625" style="412" customWidth="1"/>
    <col min="12552" max="12556" width="0" style="412" hidden="1" customWidth="1"/>
    <col min="12557" max="12557" width="14.7109375" style="412" customWidth="1"/>
    <col min="12558" max="12558" width="14.5703125" style="412" customWidth="1"/>
    <col min="12559" max="12800" width="9.140625" style="412"/>
    <col min="12801" max="12801" width="5.42578125" style="412" customWidth="1"/>
    <col min="12802" max="12802" width="45.7109375" style="412" customWidth="1"/>
    <col min="12803" max="12803" width="35.140625" style="412" customWidth="1"/>
    <col min="12804" max="12805" width="20.140625" style="412" customWidth="1"/>
    <col min="12806" max="12806" width="0" style="412" hidden="1" customWidth="1"/>
    <col min="12807" max="12807" width="20.140625" style="412" customWidth="1"/>
    <col min="12808" max="12812" width="0" style="412" hidden="1" customWidth="1"/>
    <col min="12813" max="12813" width="14.7109375" style="412" customWidth="1"/>
    <col min="12814" max="12814" width="14.5703125" style="412" customWidth="1"/>
    <col min="12815" max="13056" width="9.140625" style="412"/>
    <col min="13057" max="13057" width="5.42578125" style="412" customWidth="1"/>
    <col min="13058" max="13058" width="45.7109375" style="412" customWidth="1"/>
    <col min="13059" max="13059" width="35.140625" style="412" customWidth="1"/>
    <col min="13060" max="13061" width="20.140625" style="412" customWidth="1"/>
    <col min="13062" max="13062" width="0" style="412" hidden="1" customWidth="1"/>
    <col min="13063" max="13063" width="20.140625" style="412" customWidth="1"/>
    <col min="13064" max="13068" width="0" style="412" hidden="1" customWidth="1"/>
    <col min="13069" max="13069" width="14.7109375" style="412" customWidth="1"/>
    <col min="13070" max="13070" width="14.5703125" style="412" customWidth="1"/>
    <col min="13071" max="13312" width="9.140625" style="412"/>
    <col min="13313" max="13313" width="5.42578125" style="412" customWidth="1"/>
    <col min="13314" max="13314" width="45.7109375" style="412" customWidth="1"/>
    <col min="13315" max="13315" width="35.140625" style="412" customWidth="1"/>
    <col min="13316" max="13317" width="20.140625" style="412" customWidth="1"/>
    <col min="13318" max="13318" width="0" style="412" hidden="1" customWidth="1"/>
    <col min="13319" max="13319" width="20.140625" style="412" customWidth="1"/>
    <col min="13320" max="13324" width="0" style="412" hidden="1" customWidth="1"/>
    <col min="13325" max="13325" width="14.7109375" style="412" customWidth="1"/>
    <col min="13326" max="13326" width="14.5703125" style="412" customWidth="1"/>
    <col min="13327" max="13568" width="9.140625" style="412"/>
    <col min="13569" max="13569" width="5.42578125" style="412" customWidth="1"/>
    <col min="13570" max="13570" width="45.7109375" style="412" customWidth="1"/>
    <col min="13571" max="13571" width="35.140625" style="412" customWidth="1"/>
    <col min="13572" max="13573" width="20.140625" style="412" customWidth="1"/>
    <col min="13574" max="13574" width="0" style="412" hidden="1" customWidth="1"/>
    <col min="13575" max="13575" width="20.140625" style="412" customWidth="1"/>
    <col min="13576" max="13580" width="0" style="412" hidden="1" customWidth="1"/>
    <col min="13581" max="13581" width="14.7109375" style="412" customWidth="1"/>
    <col min="13582" max="13582" width="14.5703125" style="412" customWidth="1"/>
    <col min="13583" max="13824" width="9.140625" style="412"/>
    <col min="13825" max="13825" width="5.42578125" style="412" customWidth="1"/>
    <col min="13826" max="13826" width="45.7109375" style="412" customWidth="1"/>
    <col min="13827" max="13827" width="35.140625" style="412" customWidth="1"/>
    <col min="13828" max="13829" width="20.140625" style="412" customWidth="1"/>
    <col min="13830" max="13830" width="0" style="412" hidden="1" customWidth="1"/>
    <col min="13831" max="13831" width="20.140625" style="412" customWidth="1"/>
    <col min="13832" max="13836" width="0" style="412" hidden="1" customWidth="1"/>
    <col min="13837" max="13837" width="14.7109375" style="412" customWidth="1"/>
    <col min="13838" max="13838" width="14.5703125" style="412" customWidth="1"/>
    <col min="13839" max="14080" width="9.140625" style="412"/>
    <col min="14081" max="14081" width="5.42578125" style="412" customWidth="1"/>
    <col min="14082" max="14082" width="45.7109375" style="412" customWidth="1"/>
    <col min="14083" max="14083" width="35.140625" style="412" customWidth="1"/>
    <col min="14084" max="14085" width="20.140625" style="412" customWidth="1"/>
    <col min="14086" max="14086" width="0" style="412" hidden="1" customWidth="1"/>
    <col min="14087" max="14087" width="20.140625" style="412" customWidth="1"/>
    <col min="14088" max="14092" width="0" style="412" hidden="1" customWidth="1"/>
    <col min="14093" max="14093" width="14.7109375" style="412" customWidth="1"/>
    <col min="14094" max="14094" width="14.5703125" style="412" customWidth="1"/>
    <col min="14095" max="14336" width="9.140625" style="412"/>
    <col min="14337" max="14337" width="5.42578125" style="412" customWidth="1"/>
    <col min="14338" max="14338" width="45.7109375" style="412" customWidth="1"/>
    <col min="14339" max="14339" width="35.140625" style="412" customWidth="1"/>
    <col min="14340" max="14341" width="20.140625" style="412" customWidth="1"/>
    <col min="14342" max="14342" width="0" style="412" hidden="1" customWidth="1"/>
    <col min="14343" max="14343" width="20.140625" style="412" customWidth="1"/>
    <col min="14344" max="14348" width="0" style="412" hidden="1" customWidth="1"/>
    <col min="14349" max="14349" width="14.7109375" style="412" customWidth="1"/>
    <col min="14350" max="14350" width="14.5703125" style="412" customWidth="1"/>
    <col min="14351" max="14592" width="9.140625" style="412"/>
    <col min="14593" max="14593" width="5.42578125" style="412" customWidth="1"/>
    <col min="14594" max="14594" width="45.7109375" style="412" customWidth="1"/>
    <col min="14595" max="14595" width="35.140625" style="412" customWidth="1"/>
    <col min="14596" max="14597" width="20.140625" style="412" customWidth="1"/>
    <col min="14598" max="14598" width="0" style="412" hidden="1" customWidth="1"/>
    <col min="14599" max="14599" width="20.140625" style="412" customWidth="1"/>
    <col min="14600" max="14604" width="0" style="412" hidden="1" customWidth="1"/>
    <col min="14605" max="14605" width="14.7109375" style="412" customWidth="1"/>
    <col min="14606" max="14606" width="14.5703125" style="412" customWidth="1"/>
    <col min="14607" max="14848" width="9.140625" style="412"/>
    <col min="14849" max="14849" width="5.42578125" style="412" customWidth="1"/>
    <col min="14850" max="14850" width="45.7109375" style="412" customWidth="1"/>
    <col min="14851" max="14851" width="35.140625" style="412" customWidth="1"/>
    <col min="14852" max="14853" width="20.140625" style="412" customWidth="1"/>
    <col min="14854" max="14854" width="0" style="412" hidden="1" customWidth="1"/>
    <col min="14855" max="14855" width="20.140625" style="412" customWidth="1"/>
    <col min="14856" max="14860" width="0" style="412" hidden="1" customWidth="1"/>
    <col min="14861" max="14861" width="14.7109375" style="412" customWidth="1"/>
    <col min="14862" max="14862" width="14.5703125" style="412" customWidth="1"/>
    <col min="14863" max="15104" width="9.140625" style="412"/>
    <col min="15105" max="15105" width="5.42578125" style="412" customWidth="1"/>
    <col min="15106" max="15106" width="45.7109375" style="412" customWidth="1"/>
    <col min="15107" max="15107" width="35.140625" style="412" customWidth="1"/>
    <col min="15108" max="15109" width="20.140625" style="412" customWidth="1"/>
    <col min="15110" max="15110" width="0" style="412" hidden="1" customWidth="1"/>
    <col min="15111" max="15111" width="20.140625" style="412" customWidth="1"/>
    <col min="15112" max="15116" width="0" style="412" hidden="1" customWidth="1"/>
    <col min="15117" max="15117" width="14.7109375" style="412" customWidth="1"/>
    <col min="15118" max="15118" width="14.5703125" style="412" customWidth="1"/>
    <col min="15119" max="15360" width="9.140625" style="412"/>
    <col min="15361" max="15361" width="5.42578125" style="412" customWidth="1"/>
    <col min="15362" max="15362" width="45.7109375" style="412" customWidth="1"/>
    <col min="15363" max="15363" width="35.140625" style="412" customWidth="1"/>
    <col min="15364" max="15365" width="20.140625" style="412" customWidth="1"/>
    <col min="15366" max="15366" width="0" style="412" hidden="1" customWidth="1"/>
    <col min="15367" max="15367" width="20.140625" style="412" customWidth="1"/>
    <col min="15368" max="15372" width="0" style="412" hidden="1" customWidth="1"/>
    <col min="15373" max="15373" width="14.7109375" style="412" customWidth="1"/>
    <col min="15374" max="15374" width="14.5703125" style="412" customWidth="1"/>
    <col min="15375" max="15616" width="9.140625" style="412"/>
    <col min="15617" max="15617" width="5.42578125" style="412" customWidth="1"/>
    <col min="15618" max="15618" width="45.7109375" style="412" customWidth="1"/>
    <col min="15619" max="15619" width="35.140625" style="412" customWidth="1"/>
    <col min="15620" max="15621" width="20.140625" style="412" customWidth="1"/>
    <col min="15622" max="15622" width="0" style="412" hidden="1" customWidth="1"/>
    <col min="15623" max="15623" width="20.140625" style="412" customWidth="1"/>
    <col min="15624" max="15628" width="0" style="412" hidden="1" customWidth="1"/>
    <col min="15629" max="15629" width="14.7109375" style="412" customWidth="1"/>
    <col min="15630" max="15630" width="14.5703125" style="412" customWidth="1"/>
    <col min="15631" max="15872" width="9.140625" style="412"/>
    <col min="15873" max="15873" width="5.42578125" style="412" customWidth="1"/>
    <col min="15874" max="15874" width="45.7109375" style="412" customWidth="1"/>
    <col min="15875" max="15875" width="35.140625" style="412" customWidth="1"/>
    <col min="15876" max="15877" width="20.140625" style="412" customWidth="1"/>
    <col min="15878" max="15878" width="0" style="412" hidden="1" customWidth="1"/>
    <col min="15879" max="15879" width="20.140625" style="412" customWidth="1"/>
    <col min="15880" max="15884" width="0" style="412" hidden="1" customWidth="1"/>
    <col min="15885" max="15885" width="14.7109375" style="412" customWidth="1"/>
    <col min="15886" max="15886" width="14.5703125" style="412" customWidth="1"/>
    <col min="15887" max="16128" width="9.140625" style="412"/>
    <col min="16129" max="16129" width="5.42578125" style="412" customWidth="1"/>
    <col min="16130" max="16130" width="45.7109375" style="412" customWidth="1"/>
    <col min="16131" max="16131" width="35.140625" style="412" customWidth="1"/>
    <col min="16132" max="16133" width="20.140625" style="412" customWidth="1"/>
    <col min="16134" max="16134" width="0" style="412" hidden="1" customWidth="1"/>
    <col min="16135" max="16135" width="20.140625" style="412" customWidth="1"/>
    <col min="16136" max="16140" width="0" style="412" hidden="1" customWidth="1"/>
    <col min="16141" max="16141" width="14.7109375" style="412" customWidth="1"/>
    <col min="16142" max="16142" width="14.5703125" style="412" customWidth="1"/>
    <col min="16143" max="16384" width="9.140625" style="412"/>
  </cols>
  <sheetData>
    <row r="1" spans="1:15" ht="28.5" customHeight="1">
      <c r="A1" s="1917" t="str">
        <f>+'64'!A1:B1</f>
        <v>UBND XÃ CƯỜNG LỢI</v>
      </c>
      <c r="B1" s="1918"/>
      <c r="E1" s="486"/>
      <c r="G1" s="413" t="s">
        <v>872</v>
      </c>
    </row>
    <row r="2" spans="1:15" ht="23.25" customHeight="1">
      <c r="A2" s="414" t="s">
        <v>1249</v>
      </c>
      <c r="B2" s="414"/>
      <c r="C2" s="414"/>
      <c r="D2" s="414"/>
      <c r="E2" s="414"/>
      <c r="F2" s="414"/>
      <c r="G2" s="1063"/>
    </row>
    <row r="3" spans="1:15" s="33" customFormat="1" ht="27" customHeight="1">
      <c r="A3" s="1749" t="str">
        <f>+'49'!A3:E3</f>
        <v>(Kèm theo Báo cáo số 151/BC-UBND ngày 20/3/2026 của UBND xã Cường Lợi)</v>
      </c>
      <c r="B3" s="1749"/>
      <c r="C3" s="1749"/>
      <c r="D3" s="1749"/>
      <c r="E3" s="1749"/>
      <c r="F3" s="1749"/>
      <c r="G3" s="1749"/>
      <c r="H3" s="1749"/>
      <c r="I3" s="1749"/>
      <c r="J3" s="1749"/>
      <c r="K3" s="1749"/>
    </row>
    <row r="4" spans="1:15" ht="15.75">
      <c r="D4" s="417"/>
      <c r="E4" s="417"/>
      <c r="G4" s="488" t="s">
        <v>205</v>
      </c>
    </row>
    <row r="5" spans="1:15" s="421" customFormat="1" ht="57" customHeight="1">
      <c r="A5" s="418" t="s">
        <v>291</v>
      </c>
      <c r="B5" s="418" t="s">
        <v>292</v>
      </c>
      <c r="C5" s="418" t="s">
        <v>1019</v>
      </c>
      <c r="D5" s="419" t="s">
        <v>740</v>
      </c>
      <c r="E5" s="419" t="s">
        <v>716</v>
      </c>
      <c r="F5" s="419" t="s">
        <v>741</v>
      </c>
      <c r="G5" s="419" t="s">
        <v>238</v>
      </c>
      <c r="H5" s="489"/>
      <c r="I5" s="424"/>
      <c r="J5" s="424"/>
      <c r="K5" s="424"/>
      <c r="L5" s="424"/>
      <c r="M5" s="424"/>
      <c r="N5" s="424"/>
      <c r="O5" s="424"/>
    </row>
    <row r="6" spans="1:15" s="421" customFormat="1" ht="35.25" customHeight="1">
      <c r="A6" s="418" t="s">
        <v>296</v>
      </c>
      <c r="B6" s="1090" t="s">
        <v>1024</v>
      </c>
      <c r="C6" s="418"/>
      <c r="D6" s="1091">
        <f>+D7+D10+D18</f>
        <v>19303.387440999999</v>
      </c>
      <c r="E6" s="1091">
        <f>+E7+E10+E18</f>
        <v>18711.045460000001</v>
      </c>
      <c r="F6" s="419"/>
      <c r="G6" s="419"/>
      <c r="H6" s="489"/>
      <c r="I6" s="424"/>
      <c r="J6" s="424"/>
      <c r="K6" s="424"/>
      <c r="L6" s="424"/>
      <c r="M6" s="424"/>
      <c r="N6" s="424"/>
      <c r="O6" s="424"/>
    </row>
    <row r="7" spans="1:15" s="208" customFormat="1" ht="32.25" customHeight="1">
      <c r="A7" s="1065">
        <v>1</v>
      </c>
      <c r="B7" s="1066" t="s">
        <v>1008</v>
      </c>
      <c r="C7" s="1067"/>
      <c r="D7" s="1068">
        <f>SUM(D8:D9)</f>
        <v>1204.5114960000001</v>
      </c>
      <c r="E7" s="1068">
        <f>SUM(E8:E9)</f>
        <v>1071.7410600000001</v>
      </c>
      <c r="F7" s="1113">
        <f>SUM(F8:F9)</f>
        <v>132.7704359999999</v>
      </c>
      <c r="G7" s="1113"/>
      <c r="H7" s="1114">
        <f>SUM(H8:H9)</f>
        <v>433.68149599999998</v>
      </c>
      <c r="M7" s="1115"/>
    </row>
    <row r="8" spans="1:15" s="208" customFormat="1" ht="26.25" customHeight="1">
      <c r="A8" s="1069"/>
      <c r="B8" s="1070" t="s">
        <v>1018</v>
      </c>
      <c r="C8" s="1919" t="s">
        <v>1009</v>
      </c>
      <c r="D8" s="1071">
        <v>433.68149599999998</v>
      </c>
      <c r="E8" s="1071">
        <f>+D8</f>
        <v>433.68149599999998</v>
      </c>
      <c r="F8" s="1079"/>
      <c r="G8" s="1080"/>
      <c r="H8" s="1116">
        <f>+D8</f>
        <v>433.68149599999998</v>
      </c>
      <c r="I8" s="1104">
        <v>63.43</v>
      </c>
      <c r="J8" s="1117">
        <v>1706046076</v>
      </c>
      <c r="K8" s="1104"/>
      <c r="L8" s="1104"/>
      <c r="M8" s="1118"/>
      <c r="N8" s="1104"/>
      <c r="O8" s="1104"/>
    </row>
    <row r="9" spans="1:15" s="208" customFormat="1" ht="40.5" customHeight="1">
      <c r="A9" s="1069"/>
      <c r="B9" s="1070" t="s">
        <v>1010</v>
      </c>
      <c r="C9" s="1919"/>
      <c r="D9" s="1071">
        <v>770.83</v>
      </c>
      <c r="E9" s="1071">
        <f>+E22-E8</f>
        <v>638.05956400000014</v>
      </c>
      <c r="F9" s="1079">
        <f>+D9-E9</f>
        <v>132.7704359999999</v>
      </c>
      <c r="G9" s="1080"/>
      <c r="H9" s="1119"/>
      <c r="I9" s="1120">
        <v>1644.1959999999999</v>
      </c>
      <c r="J9" s="1117">
        <v>2966000000</v>
      </c>
    </row>
    <row r="10" spans="1:15" s="208" customFormat="1" ht="27" customHeight="1">
      <c r="A10" s="1065">
        <v>2</v>
      </c>
      <c r="B10" s="1066" t="s">
        <v>746</v>
      </c>
      <c r="C10" s="1067"/>
      <c r="D10" s="1068">
        <f>+D11+D12+D16+D17</f>
        <v>17989.202395</v>
      </c>
      <c r="E10" s="1068">
        <f>+E11+E12+E16+E17</f>
        <v>17639.304400000001</v>
      </c>
      <c r="F10" s="1068">
        <f t="shared" ref="F10" si="0">+F11+F12+F16+F17</f>
        <v>0</v>
      </c>
      <c r="G10" s="1121"/>
      <c r="H10" s="1122">
        <f>SUM(H11:H12)</f>
        <v>17444</v>
      </c>
      <c r="J10" s="1117">
        <v>2159135000</v>
      </c>
    </row>
    <row r="11" spans="1:15" s="208" customFormat="1" ht="38.25" customHeight="1">
      <c r="A11" s="1072" t="s">
        <v>60</v>
      </c>
      <c r="B11" s="1073" t="s">
        <v>1011</v>
      </c>
      <c r="C11" s="1088" t="s">
        <v>1009</v>
      </c>
      <c r="D11" s="1071">
        <v>17444</v>
      </c>
      <c r="E11" s="1071">
        <f>+D11</f>
        <v>17444</v>
      </c>
      <c r="F11" s="1079">
        <f>E11-D11</f>
        <v>0</v>
      </c>
      <c r="G11" s="1097"/>
      <c r="H11" s="1098">
        <f>+D11</f>
        <v>17444</v>
      </c>
      <c r="J11" s="1099">
        <f>SUM(J8:J10)</f>
        <v>6831181076</v>
      </c>
    </row>
    <row r="12" spans="1:15" s="208" customFormat="1" ht="71.25" customHeight="1">
      <c r="A12" s="1072" t="s">
        <v>60</v>
      </c>
      <c r="B12" s="1070" t="s">
        <v>1012</v>
      </c>
      <c r="C12" s="1921" t="s">
        <v>1022</v>
      </c>
      <c r="D12" s="1071">
        <v>339</v>
      </c>
      <c r="E12" s="1071">
        <f>+E13</f>
        <v>195.30439999999999</v>
      </c>
      <c r="F12" s="1079"/>
      <c r="G12" s="1097"/>
      <c r="H12" s="1098"/>
      <c r="J12" s="1099"/>
      <c r="M12" s="77"/>
      <c r="N12" s="77"/>
    </row>
    <row r="13" spans="1:15" s="594" customFormat="1" ht="110.25">
      <c r="A13" s="1074"/>
      <c r="B13" s="1075" t="s">
        <v>1025</v>
      </c>
      <c r="C13" s="1922"/>
      <c r="D13" s="1076">
        <v>195.30439999999999</v>
      </c>
      <c r="E13" s="1076">
        <v>195.30439999999999</v>
      </c>
      <c r="F13" s="1092"/>
      <c r="G13" s="1093"/>
      <c r="H13" s="1094"/>
      <c r="J13" s="1095"/>
      <c r="M13" s="1096"/>
      <c r="N13" s="1096"/>
    </row>
    <row r="14" spans="1:15" s="594" customFormat="1" ht="63">
      <c r="A14" s="1074"/>
      <c r="B14" s="1075" t="s">
        <v>1026</v>
      </c>
      <c r="C14" s="1922"/>
      <c r="D14" s="1076">
        <v>143.0812</v>
      </c>
      <c r="E14" s="1076"/>
      <c r="F14" s="1092"/>
      <c r="G14" s="1410"/>
      <c r="H14" s="1094"/>
      <c r="J14" s="1095"/>
      <c r="M14" s="1096"/>
      <c r="N14" s="1096"/>
    </row>
    <row r="15" spans="1:15" s="594" customFormat="1" ht="110.25">
      <c r="A15" s="1405"/>
      <c r="B15" s="1406" t="s">
        <v>1200</v>
      </c>
      <c r="C15" s="1923"/>
      <c r="D15" s="1407">
        <v>0.61439999999999995</v>
      </c>
      <c r="E15" s="1407"/>
      <c r="F15" s="1408"/>
      <c r="G15" s="1409"/>
      <c r="H15" s="1094"/>
      <c r="J15" s="1095"/>
      <c r="M15" s="1096"/>
      <c r="N15" s="1096"/>
    </row>
    <row r="16" spans="1:15" s="208" customFormat="1" ht="42" customHeight="1">
      <c r="A16" s="1072" t="s">
        <v>60</v>
      </c>
      <c r="B16" s="1070" t="s">
        <v>1020</v>
      </c>
      <c r="C16" s="1915" t="s">
        <v>1023</v>
      </c>
      <c r="D16" s="1071">
        <v>8.9</v>
      </c>
      <c r="E16" s="1071"/>
      <c r="F16" s="1079"/>
      <c r="G16" s="1097"/>
      <c r="H16" s="1098"/>
      <c r="J16" s="1099"/>
      <c r="M16" s="77"/>
      <c r="N16" s="77"/>
    </row>
    <row r="17" spans="1:14" s="208" customFormat="1" ht="42" customHeight="1">
      <c r="A17" s="1072" t="s">
        <v>60</v>
      </c>
      <c r="B17" s="1070" t="s">
        <v>1021</v>
      </c>
      <c r="C17" s="1916"/>
      <c r="D17" s="1071">
        <v>197.30239499999999</v>
      </c>
      <c r="E17" s="1071"/>
      <c r="F17" s="1079"/>
      <c r="G17" s="1097"/>
      <c r="H17" s="1098"/>
      <c r="J17" s="1099"/>
      <c r="M17" s="77"/>
      <c r="N17" s="77"/>
    </row>
    <row r="18" spans="1:14" s="208" customFormat="1" ht="27.75" customHeight="1">
      <c r="A18" s="1077">
        <v>3</v>
      </c>
      <c r="B18" s="1066" t="s">
        <v>752</v>
      </c>
      <c r="C18" s="1078"/>
      <c r="D18" s="1068">
        <f>SUM(D19:D19)</f>
        <v>109.67354999999999</v>
      </c>
      <c r="E18" s="1068">
        <f>SUM(E19:E19)</f>
        <v>0</v>
      </c>
      <c r="F18" s="1079"/>
      <c r="G18" s="1080"/>
      <c r="H18" s="1081"/>
    </row>
    <row r="19" spans="1:14" s="33" customFormat="1" ht="32.25" customHeight="1">
      <c r="A19" s="1082"/>
      <c r="B19" s="1083" t="s">
        <v>754</v>
      </c>
      <c r="C19" s="1089" t="s">
        <v>1023</v>
      </c>
      <c r="D19" s="1084">
        <f>156.6765*0.7</f>
        <v>109.67354999999999</v>
      </c>
      <c r="E19" s="1084"/>
      <c r="F19" s="1085"/>
      <c r="G19" s="1086"/>
      <c r="H19" s="1087"/>
    </row>
    <row r="20" spans="1:14" s="1112" customFormat="1" ht="27.75" customHeight="1">
      <c r="A20" s="1065" t="s">
        <v>139</v>
      </c>
      <c r="B20" s="1090" t="s">
        <v>1027</v>
      </c>
      <c r="C20" s="1090"/>
      <c r="D20" s="1068">
        <f>+D21+D22+D23</f>
        <v>18711.045460000001</v>
      </c>
      <c r="E20" s="1068">
        <f t="shared" ref="E20:F20" si="1">+E21+E22+E23</f>
        <v>18711.045460000001</v>
      </c>
      <c r="F20" s="1068">
        <f t="shared" si="1"/>
        <v>0</v>
      </c>
      <c r="G20" s="1106"/>
      <c r="H20" s="1111" t="e">
        <f>H7+H10+#REF!+#REF!</f>
        <v>#REF!</v>
      </c>
      <c r="I20" s="1111">
        <v>20722.194474</v>
      </c>
      <c r="J20" s="1111" t="e">
        <f>+H20-I20</f>
        <v>#REF!</v>
      </c>
    </row>
    <row r="21" spans="1:14" s="33" customFormat="1" ht="37.5" customHeight="1">
      <c r="A21" s="1082">
        <v>1</v>
      </c>
      <c r="B21" s="1083" t="s">
        <v>1013</v>
      </c>
      <c r="C21" s="1082" t="s">
        <v>1028</v>
      </c>
      <c r="D21" s="1084">
        <f>+D11</f>
        <v>17444</v>
      </c>
      <c r="E21" s="1084">
        <f>+D21</f>
        <v>17444</v>
      </c>
      <c r="F21" s="1085"/>
      <c r="G21" s="1086"/>
      <c r="H21" s="1100" t="e">
        <f>+H23+#REF!+#REF!</f>
        <v>#REF!</v>
      </c>
      <c r="I21" s="1101" t="e">
        <f>+#REF!-E23</f>
        <v>#REF!</v>
      </c>
      <c r="J21" s="1101" t="e">
        <f>+I21-H21</f>
        <v>#REF!</v>
      </c>
    </row>
    <row r="22" spans="1:14" s="33" customFormat="1" ht="37.5" customHeight="1">
      <c r="A22" s="1082">
        <v>2</v>
      </c>
      <c r="B22" s="1083" t="s">
        <v>1014</v>
      </c>
      <c r="C22" s="1082" t="s">
        <v>1029</v>
      </c>
      <c r="D22" s="1084">
        <v>1071.7410600000001</v>
      </c>
      <c r="E22" s="1084">
        <f>+D22</f>
        <v>1071.7410600000001</v>
      </c>
      <c r="F22" s="1085"/>
      <c r="G22" s="1086"/>
      <c r="H22" s="1100"/>
      <c r="I22" s="1101"/>
      <c r="J22" s="1101"/>
    </row>
    <row r="23" spans="1:14" s="1104" customFormat="1" ht="37.5" customHeight="1">
      <c r="A23" s="1082">
        <v>3</v>
      </c>
      <c r="B23" s="1069" t="s">
        <v>1015</v>
      </c>
      <c r="C23" s="1089" t="s">
        <v>1031</v>
      </c>
      <c r="D23" s="1071">
        <f>+E12</f>
        <v>195.30439999999999</v>
      </c>
      <c r="E23" s="1071">
        <f>+D23</f>
        <v>195.30439999999999</v>
      </c>
      <c r="F23" s="1079"/>
      <c r="G23" s="1097"/>
      <c r="H23" s="1102">
        <v>10.076000000000001</v>
      </c>
      <c r="I23" s="33" t="s">
        <v>516</v>
      </c>
      <c r="J23" s="1103" t="e">
        <f>+#REF!-D23</f>
        <v>#REF!</v>
      </c>
    </row>
    <row r="24" spans="1:14" s="46" customFormat="1" ht="24.75" customHeight="1">
      <c r="A24" s="1065" t="s">
        <v>62</v>
      </c>
      <c r="B24" s="1105" t="s">
        <v>1030</v>
      </c>
      <c r="C24" s="1105"/>
      <c r="D24" s="1068">
        <f>+D25</f>
        <v>592.34198099999776</v>
      </c>
      <c r="E24" s="1068">
        <f>+E25</f>
        <v>592.34198099999776</v>
      </c>
      <c r="F24" s="1106"/>
      <c r="G24" s="1107"/>
      <c r="H24" s="1108"/>
    </row>
    <row r="25" spans="1:14" s="46" customFormat="1" ht="25.5" customHeight="1">
      <c r="A25" s="1072"/>
      <c r="B25" s="1109" t="s">
        <v>765</v>
      </c>
      <c r="C25" s="1089" t="s">
        <v>1023</v>
      </c>
      <c r="D25" s="1071">
        <f>+D6-D20</f>
        <v>592.34198099999776</v>
      </c>
      <c r="E25" s="1071">
        <f>+D25</f>
        <v>592.34198099999776</v>
      </c>
      <c r="F25" s="1079"/>
      <c r="G25" s="1110"/>
      <c r="H25" s="1108">
        <v>785.32643900000005</v>
      </c>
    </row>
    <row r="26" spans="1:14">
      <c r="H26" s="528"/>
    </row>
    <row r="27" spans="1:14" ht="24.75" hidden="1" customHeight="1">
      <c r="D27" s="1920" t="s">
        <v>1032</v>
      </c>
      <c r="E27" s="1920"/>
      <c r="F27" s="1920"/>
      <c r="G27" s="1920"/>
      <c r="H27" s="528"/>
    </row>
    <row r="28" spans="1:14" ht="18.75" hidden="1">
      <c r="A28" s="1914" t="s">
        <v>1016</v>
      </c>
      <c r="B28" s="1914"/>
      <c r="D28" s="1914" t="s">
        <v>1017</v>
      </c>
      <c r="E28" s="1914"/>
      <c r="F28" s="1914"/>
      <c r="G28" s="1914"/>
      <c r="H28" s="528"/>
    </row>
    <row r="29" spans="1:14" ht="18.75" hidden="1">
      <c r="A29"/>
      <c r="B29"/>
      <c r="D29"/>
      <c r="E29" s="1064"/>
      <c r="F29" s="1064"/>
      <c r="H29" s="528"/>
    </row>
    <row r="30" spans="1:14" ht="15" hidden="1">
      <c r="A30"/>
      <c r="B30"/>
      <c r="D30"/>
      <c r="E30"/>
      <c r="F30"/>
    </row>
    <row r="31" spans="1:14" ht="15" hidden="1">
      <c r="A31"/>
      <c r="B31"/>
      <c r="D31"/>
      <c r="E31"/>
      <c r="F31"/>
    </row>
    <row r="32" spans="1:14" ht="15" hidden="1">
      <c r="A32"/>
      <c r="B32"/>
      <c r="D32"/>
      <c r="E32"/>
      <c r="F32"/>
    </row>
    <row r="33" spans="1:7" ht="15" hidden="1">
      <c r="A33"/>
      <c r="B33"/>
      <c r="D33"/>
      <c r="E33"/>
      <c r="F33"/>
    </row>
    <row r="34" spans="1:7" ht="15">
      <c r="A34"/>
      <c r="B34"/>
      <c r="D34"/>
      <c r="E34"/>
      <c r="F34"/>
    </row>
    <row r="35" spans="1:7" ht="18.75">
      <c r="A35" s="1914"/>
      <c r="B35" s="1914"/>
      <c r="D35" s="1914"/>
      <c r="E35" s="1914"/>
      <c r="F35" s="1914"/>
      <c r="G35" s="1914"/>
    </row>
  </sheetData>
  <mergeCells count="10">
    <mergeCell ref="A35:B35"/>
    <mergeCell ref="D35:G35"/>
    <mergeCell ref="C16:C17"/>
    <mergeCell ref="A1:B1"/>
    <mergeCell ref="C8:C9"/>
    <mergeCell ref="D27:G27"/>
    <mergeCell ref="A28:B28"/>
    <mergeCell ref="D28:G28"/>
    <mergeCell ref="C12:C15"/>
    <mergeCell ref="A3:K3"/>
  </mergeCells>
  <printOptions horizontalCentered="1"/>
  <pageMargins left="0" right="0" top="0.75" bottom="0.75" header="0.3" footer="0.3"/>
  <pageSetup paperSize="9" orientation="landscape"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B140B-4A76-443C-A81F-12B186565061}">
  <dimension ref="A1:J25"/>
  <sheetViews>
    <sheetView view="pageBreakPreview" zoomScale="60" zoomScaleNormal="100" workbookViewId="0">
      <selection activeCell="C13" sqref="C13"/>
    </sheetView>
  </sheetViews>
  <sheetFormatPr defaultRowHeight="15.75"/>
  <cols>
    <col min="1" max="1" width="6.85546875" style="1606" customWidth="1"/>
    <col min="2" max="2" width="39.5703125" style="1606" customWidth="1"/>
    <col min="3" max="3" width="12.42578125" style="1606" customWidth="1"/>
    <col min="4" max="4" width="12.140625" style="1607" customWidth="1"/>
    <col min="5" max="5" width="13.140625" style="1607" customWidth="1"/>
    <col min="6" max="6" width="10.7109375" style="1606" customWidth="1"/>
    <col min="7" max="8" width="9.140625" style="1606"/>
    <col min="9" max="9" width="38.5703125" style="1606" customWidth="1"/>
    <col min="10" max="256" width="9.140625" style="1606"/>
    <col min="257" max="257" width="6.85546875" style="1606" customWidth="1"/>
    <col min="258" max="258" width="39.5703125" style="1606" customWidth="1"/>
    <col min="259" max="259" width="12.42578125" style="1606" customWidth="1"/>
    <col min="260" max="260" width="12.140625" style="1606" customWidth="1"/>
    <col min="261" max="261" width="13.140625" style="1606" customWidth="1"/>
    <col min="262" max="262" width="10.7109375" style="1606" customWidth="1"/>
    <col min="263" max="264" width="9.140625" style="1606"/>
    <col min="265" max="265" width="38.5703125" style="1606" customWidth="1"/>
    <col min="266" max="512" width="9.140625" style="1606"/>
    <col min="513" max="513" width="6.85546875" style="1606" customWidth="1"/>
    <col min="514" max="514" width="39.5703125" style="1606" customWidth="1"/>
    <col min="515" max="515" width="12.42578125" style="1606" customWidth="1"/>
    <col min="516" max="516" width="12.140625" style="1606" customWidth="1"/>
    <col min="517" max="517" width="13.140625" style="1606" customWidth="1"/>
    <col min="518" max="518" width="10.7109375" style="1606" customWidth="1"/>
    <col min="519" max="520" width="9.140625" style="1606"/>
    <col min="521" max="521" width="38.5703125" style="1606" customWidth="1"/>
    <col min="522" max="768" width="9.140625" style="1606"/>
    <col min="769" max="769" width="6.85546875" style="1606" customWidth="1"/>
    <col min="770" max="770" width="39.5703125" style="1606" customWidth="1"/>
    <col min="771" max="771" width="12.42578125" style="1606" customWidth="1"/>
    <col min="772" max="772" width="12.140625" style="1606" customWidth="1"/>
    <col min="773" max="773" width="13.140625" style="1606" customWidth="1"/>
    <col min="774" max="774" width="10.7109375" style="1606" customWidth="1"/>
    <col min="775" max="776" width="9.140625" style="1606"/>
    <col min="777" max="777" width="38.5703125" style="1606" customWidth="1"/>
    <col min="778" max="1024" width="9.140625" style="1606"/>
    <col min="1025" max="1025" width="6.85546875" style="1606" customWidth="1"/>
    <col min="1026" max="1026" width="39.5703125" style="1606" customWidth="1"/>
    <col min="1027" max="1027" width="12.42578125" style="1606" customWidth="1"/>
    <col min="1028" max="1028" width="12.140625" style="1606" customWidth="1"/>
    <col min="1029" max="1029" width="13.140625" style="1606" customWidth="1"/>
    <col min="1030" max="1030" width="10.7109375" style="1606" customWidth="1"/>
    <col min="1031" max="1032" width="9.140625" style="1606"/>
    <col min="1033" max="1033" width="38.5703125" style="1606" customWidth="1"/>
    <col min="1034" max="1280" width="9.140625" style="1606"/>
    <col min="1281" max="1281" width="6.85546875" style="1606" customWidth="1"/>
    <col min="1282" max="1282" width="39.5703125" style="1606" customWidth="1"/>
    <col min="1283" max="1283" width="12.42578125" style="1606" customWidth="1"/>
    <col min="1284" max="1284" width="12.140625" style="1606" customWidth="1"/>
    <col min="1285" max="1285" width="13.140625" style="1606" customWidth="1"/>
    <col min="1286" max="1286" width="10.7109375" style="1606" customWidth="1"/>
    <col min="1287" max="1288" width="9.140625" style="1606"/>
    <col min="1289" max="1289" width="38.5703125" style="1606" customWidth="1"/>
    <col min="1290" max="1536" width="9.140625" style="1606"/>
    <col min="1537" max="1537" width="6.85546875" style="1606" customWidth="1"/>
    <col min="1538" max="1538" width="39.5703125" style="1606" customWidth="1"/>
    <col min="1539" max="1539" width="12.42578125" style="1606" customWidth="1"/>
    <col min="1540" max="1540" width="12.140625" style="1606" customWidth="1"/>
    <col min="1541" max="1541" width="13.140625" style="1606" customWidth="1"/>
    <col min="1542" max="1542" width="10.7109375" style="1606" customWidth="1"/>
    <col min="1543" max="1544" width="9.140625" style="1606"/>
    <col min="1545" max="1545" width="38.5703125" style="1606" customWidth="1"/>
    <col min="1546" max="1792" width="9.140625" style="1606"/>
    <col min="1793" max="1793" width="6.85546875" style="1606" customWidth="1"/>
    <col min="1794" max="1794" width="39.5703125" style="1606" customWidth="1"/>
    <col min="1795" max="1795" width="12.42578125" style="1606" customWidth="1"/>
    <col min="1796" max="1796" width="12.140625" style="1606" customWidth="1"/>
    <col min="1797" max="1797" width="13.140625" style="1606" customWidth="1"/>
    <col min="1798" max="1798" width="10.7109375" style="1606" customWidth="1"/>
    <col min="1799" max="1800" width="9.140625" style="1606"/>
    <col min="1801" max="1801" width="38.5703125" style="1606" customWidth="1"/>
    <col min="1802" max="2048" width="9.140625" style="1606"/>
    <col min="2049" max="2049" width="6.85546875" style="1606" customWidth="1"/>
    <col min="2050" max="2050" width="39.5703125" style="1606" customWidth="1"/>
    <col min="2051" max="2051" width="12.42578125" style="1606" customWidth="1"/>
    <col min="2052" max="2052" width="12.140625" style="1606" customWidth="1"/>
    <col min="2053" max="2053" width="13.140625" style="1606" customWidth="1"/>
    <col min="2054" max="2054" width="10.7109375" style="1606" customWidth="1"/>
    <col min="2055" max="2056" width="9.140625" style="1606"/>
    <col min="2057" max="2057" width="38.5703125" style="1606" customWidth="1"/>
    <col min="2058" max="2304" width="9.140625" style="1606"/>
    <col min="2305" max="2305" width="6.85546875" style="1606" customWidth="1"/>
    <col min="2306" max="2306" width="39.5703125" style="1606" customWidth="1"/>
    <col min="2307" max="2307" width="12.42578125" style="1606" customWidth="1"/>
    <col min="2308" max="2308" width="12.140625" style="1606" customWidth="1"/>
    <col min="2309" max="2309" width="13.140625" style="1606" customWidth="1"/>
    <col min="2310" max="2310" width="10.7109375" style="1606" customWidth="1"/>
    <col min="2311" max="2312" width="9.140625" style="1606"/>
    <col min="2313" max="2313" width="38.5703125" style="1606" customWidth="1"/>
    <col min="2314" max="2560" width="9.140625" style="1606"/>
    <col min="2561" max="2561" width="6.85546875" style="1606" customWidth="1"/>
    <col min="2562" max="2562" width="39.5703125" style="1606" customWidth="1"/>
    <col min="2563" max="2563" width="12.42578125" style="1606" customWidth="1"/>
    <col min="2564" max="2564" width="12.140625" style="1606" customWidth="1"/>
    <col min="2565" max="2565" width="13.140625" style="1606" customWidth="1"/>
    <col min="2566" max="2566" width="10.7109375" style="1606" customWidth="1"/>
    <col min="2567" max="2568" width="9.140625" style="1606"/>
    <col min="2569" max="2569" width="38.5703125" style="1606" customWidth="1"/>
    <col min="2570" max="2816" width="9.140625" style="1606"/>
    <col min="2817" max="2817" width="6.85546875" style="1606" customWidth="1"/>
    <col min="2818" max="2818" width="39.5703125" style="1606" customWidth="1"/>
    <col min="2819" max="2819" width="12.42578125" style="1606" customWidth="1"/>
    <col min="2820" max="2820" width="12.140625" style="1606" customWidth="1"/>
    <col min="2821" max="2821" width="13.140625" style="1606" customWidth="1"/>
    <col min="2822" max="2822" width="10.7109375" style="1606" customWidth="1"/>
    <col min="2823" max="2824" width="9.140625" style="1606"/>
    <col min="2825" max="2825" width="38.5703125" style="1606" customWidth="1"/>
    <col min="2826" max="3072" width="9.140625" style="1606"/>
    <col min="3073" max="3073" width="6.85546875" style="1606" customWidth="1"/>
    <col min="3074" max="3074" width="39.5703125" style="1606" customWidth="1"/>
    <col min="3075" max="3075" width="12.42578125" style="1606" customWidth="1"/>
    <col min="3076" max="3076" width="12.140625" style="1606" customWidth="1"/>
    <col min="3077" max="3077" width="13.140625" style="1606" customWidth="1"/>
    <col min="3078" max="3078" width="10.7109375" style="1606" customWidth="1"/>
    <col min="3079" max="3080" width="9.140625" style="1606"/>
    <col min="3081" max="3081" width="38.5703125" style="1606" customWidth="1"/>
    <col min="3082" max="3328" width="9.140625" style="1606"/>
    <col min="3329" max="3329" width="6.85546875" style="1606" customWidth="1"/>
    <col min="3330" max="3330" width="39.5703125" style="1606" customWidth="1"/>
    <col min="3331" max="3331" width="12.42578125" style="1606" customWidth="1"/>
    <col min="3332" max="3332" width="12.140625" style="1606" customWidth="1"/>
    <col min="3333" max="3333" width="13.140625" style="1606" customWidth="1"/>
    <col min="3334" max="3334" width="10.7109375" style="1606" customWidth="1"/>
    <col min="3335" max="3336" width="9.140625" style="1606"/>
    <col min="3337" max="3337" width="38.5703125" style="1606" customWidth="1"/>
    <col min="3338" max="3584" width="9.140625" style="1606"/>
    <col min="3585" max="3585" width="6.85546875" style="1606" customWidth="1"/>
    <col min="3586" max="3586" width="39.5703125" style="1606" customWidth="1"/>
    <col min="3587" max="3587" width="12.42578125" style="1606" customWidth="1"/>
    <col min="3588" max="3588" width="12.140625" style="1606" customWidth="1"/>
    <col min="3589" max="3589" width="13.140625" style="1606" customWidth="1"/>
    <col min="3590" max="3590" width="10.7109375" style="1606" customWidth="1"/>
    <col min="3591" max="3592" width="9.140625" style="1606"/>
    <col min="3593" max="3593" width="38.5703125" style="1606" customWidth="1"/>
    <col min="3594" max="3840" width="9.140625" style="1606"/>
    <col min="3841" max="3841" width="6.85546875" style="1606" customWidth="1"/>
    <col min="3842" max="3842" width="39.5703125" style="1606" customWidth="1"/>
    <col min="3843" max="3843" width="12.42578125" style="1606" customWidth="1"/>
    <col min="3844" max="3844" width="12.140625" style="1606" customWidth="1"/>
    <col min="3845" max="3845" width="13.140625" style="1606" customWidth="1"/>
    <col min="3846" max="3846" width="10.7109375" style="1606" customWidth="1"/>
    <col min="3847" max="3848" width="9.140625" style="1606"/>
    <col min="3849" max="3849" width="38.5703125" style="1606" customWidth="1"/>
    <col min="3850" max="4096" width="9.140625" style="1606"/>
    <col min="4097" max="4097" width="6.85546875" style="1606" customWidth="1"/>
    <col min="4098" max="4098" width="39.5703125" style="1606" customWidth="1"/>
    <col min="4099" max="4099" width="12.42578125" style="1606" customWidth="1"/>
    <col min="4100" max="4100" width="12.140625" style="1606" customWidth="1"/>
    <col min="4101" max="4101" width="13.140625" style="1606" customWidth="1"/>
    <col min="4102" max="4102" width="10.7109375" style="1606" customWidth="1"/>
    <col min="4103" max="4104" width="9.140625" style="1606"/>
    <col min="4105" max="4105" width="38.5703125" style="1606" customWidth="1"/>
    <col min="4106" max="4352" width="9.140625" style="1606"/>
    <col min="4353" max="4353" width="6.85546875" style="1606" customWidth="1"/>
    <col min="4354" max="4354" width="39.5703125" style="1606" customWidth="1"/>
    <col min="4355" max="4355" width="12.42578125" style="1606" customWidth="1"/>
    <col min="4356" max="4356" width="12.140625" style="1606" customWidth="1"/>
    <col min="4357" max="4357" width="13.140625" style="1606" customWidth="1"/>
    <col min="4358" max="4358" width="10.7109375" style="1606" customWidth="1"/>
    <col min="4359" max="4360" width="9.140625" style="1606"/>
    <col min="4361" max="4361" width="38.5703125" style="1606" customWidth="1"/>
    <col min="4362" max="4608" width="9.140625" style="1606"/>
    <col min="4609" max="4609" width="6.85546875" style="1606" customWidth="1"/>
    <col min="4610" max="4610" width="39.5703125" style="1606" customWidth="1"/>
    <col min="4611" max="4611" width="12.42578125" style="1606" customWidth="1"/>
    <col min="4612" max="4612" width="12.140625" style="1606" customWidth="1"/>
    <col min="4613" max="4613" width="13.140625" style="1606" customWidth="1"/>
    <col min="4614" max="4614" width="10.7109375" style="1606" customWidth="1"/>
    <col min="4615" max="4616" width="9.140625" style="1606"/>
    <col min="4617" max="4617" width="38.5703125" style="1606" customWidth="1"/>
    <col min="4618" max="4864" width="9.140625" style="1606"/>
    <col min="4865" max="4865" width="6.85546875" style="1606" customWidth="1"/>
    <col min="4866" max="4866" width="39.5703125" style="1606" customWidth="1"/>
    <col min="4867" max="4867" width="12.42578125" style="1606" customWidth="1"/>
    <col min="4868" max="4868" width="12.140625" style="1606" customWidth="1"/>
    <col min="4869" max="4869" width="13.140625" style="1606" customWidth="1"/>
    <col min="4870" max="4870" width="10.7109375" style="1606" customWidth="1"/>
    <col min="4871" max="4872" width="9.140625" style="1606"/>
    <col min="4873" max="4873" width="38.5703125" style="1606" customWidth="1"/>
    <col min="4874" max="5120" width="9.140625" style="1606"/>
    <col min="5121" max="5121" width="6.85546875" style="1606" customWidth="1"/>
    <col min="5122" max="5122" width="39.5703125" style="1606" customWidth="1"/>
    <col min="5123" max="5123" width="12.42578125" style="1606" customWidth="1"/>
    <col min="5124" max="5124" width="12.140625" style="1606" customWidth="1"/>
    <col min="5125" max="5125" width="13.140625" style="1606" customWidth="1"/>
    <col min="5126" max="5126" width="10.7109375" style="1606" customWidth="1"/>
    <col min="5127" max="5128" width="9.140625" style="1606"/>
    <col min="5129" max="5129" width="38.5703125" style="1606" customWidth="1"/>
    <col min="5130" max="5376" width="9.140625" style="1606"/>
    <col min="5377" max="5377" width="6.85546875" style="1606" customWidth="1"/>
    <col min="5378" max="5378" width="39.5703125" style="1606" customWidth="1"/>
    <col min="5379" max="5379" width="12.42578125" style="1606" customWidth="1"/>
    <col min="5380" max="5380" width="12.140625" style="1606" customWidth="1"/>
    <col min="5381" max="5381" width="13.140625" style="1606" customWidth="1"/>
    <col min="5382" max="5382" width="10.7109375" style="1606" customWidth="1"/>
    <col min="5383" max="5384" width="9.140625" style="1606"/>
    <col min="5385" max="5385" width="38.5703125" style="1606" customWidth="1"/>
    <col min="5386" max="5632" width="9.140625" style="1606"/>
    <col min="5633" max="5633" width="6.85546875" style="1606" customWidth="1"/>
    <col min="5634" max="5634" width="39.5703125" style="1606" customWidth="1"/>
    <col min="5635" max="5635" width="12.42578125" style="1606" customWidth="1"/>
    <col min="5636" max="5636" width="12.140625" style="1606" customWidth="1"/>
    <col min="5637" max="5637" width="13.140625" style="1606" customWidth="1"/>
    <col min="5638" max="5638" width="10.7109375" style="1606" customWidth="1"/>
    <col min="5639" max="5640" width="9.140625" style="1606"/>
    <col min="5641" max="5641" width="38.5703125" style="1606" customWidth="1"/>
    <col min="5642" max="5888" width="9.140625" style="1606"/>
    <col min="5889" max="5889" width="6.85546875" style="1606" customWidth="1"/>
    <col min="5890" max="5890" width="39.5703125" style="1606" customWidth="1"/>
    <col min="5891" max="5891" width="12.42578125" style="1606" customWidth="1"/>
    <col min="5892" max="5892" width="12.140625" style="1606" customWidth="1"/>
    <col min="5893" max="5893" width="13.140625" style="1606" customWidth="1"/>
    <col min="5894" max="5894" width="10.7109375" style="1606" customWidth="1"/>
    <col min="5895" max="5896" width="9.140625" style="1606"/>
    <col min="5897" max="5897" width="38.5703125" style="1606" customWidth="1"/>
    <col min="5898" max="6144" width="9.140625" style="1606"/>
    <col min="6145" max="6145" width="6.85546875" style="1606" customWidth="1"/>
    <col min="6146" max="6146" width="39.5703125" style="1606" customWidth="1"/>
    <col min="6147" max="6147" width="12.42578125" style="1606" customWidth="1"/>
    <col min="6148" max="6148" width="12.140625" style="1606" customWidth="1"/>
    <col min="6149" max="6149" width="13.140625" style="1606" customWidth="1"/>
    <col min="6150" max="6150" width="10.7109375" style="1606" customWidth="1"/>
    <col min="6151" max="6152" width="9.140625" style="1606"/>
    <col min="6153" max="6153" width="38.5703125" style="1606" customWidth="1"/>
    <col min="6154" max="6400" width="9.140625" style="1606"/>
    <col min="6401" max="6401" width="6.85546875" style="1606" customWidth="1"/>
    <col min="6402" max="6402" width="39.5703125" style="1606" customWidth="1"/>
    <col min="6403" max="6403" width="12.42578125" style="1606" customWidth="1"/>
    <col min="6404" max="6404" width="12.140625" style="1606" customWidth="1"/>
    <col min="6405" max="6405" width="13.140625" style="1606" customWidth="1"/>
    <col min="6406" max="6406" width="10.7109375" style="1606" customWidth="1"/>
    <col min="6407" max="6408" width="9.140625" style="1606"/>
    <col min="6409" max="6409" width="38.5703125" style="1606" customWidth="1"/>
    <col min="6410" max="6656" width="9.140625" style="1606"/>
    <col min="6657" max="6657" width="6.85546875" style="1606" customWidth="1"/>
    <col min="6658" max="6658" width="39.5703125" style="1606" customWidth="1"/>
    <col min="6659" max="6659" width="12.42578125" style="1606" customWidth="1"/>
    <col min="6660" max="6660" width="12.140625" style="1606" customWidth="1"/>
    <col min="6661" max="6661" width="13.140625" style="1606" customWidth="1"/>
    <col min="6662" max="6662" width="10.7109375" style="1606" customWidth="1"/>
    <col min="6663" max="6664" width="9.140625" style="1606"/>
    <col min="6665" max="6665" width="38.5703125" style="1606" customWidth="1"/>
    <col min="6666" max="6912" width="9.140625" style="1606"/>
    <col min="6913" max="6913" width="6.85546875" style="1606" customWidth="1"/>
    <col min="6914" max="6914" width="39.5703125" style="1606" customWidth="1"/>
    <col min="6915" max="6915" width="12.42578125" style="1606" customWidth="1"/>
    <col min="6916" max="6916" width="12.140625" style="1606" customWidth="1"/>
    <col min="6917" max="6917" width="13.140625" style="1606" customWidth="1"/>
    <col min="6918" max="6918" width="10.7109375" style="1606" customWidth="1"/>
    <col min="6919" max="6920" width="9.140625" style="1606"/>
    <col min="6921" max="6921" width="38.5703125" style="1606" customWidth="1"/>
    <col min="6922" max="7168" width="9.140625" style="1606"/>
    <col min="7169" max="7169" width="6.85546875" style="1606" customWidth="1"/>
    <col min="7170" max="7170" width="39.5703125" style="1606" customWidth="1"/>
    <col min="7171" max="7171" width="12.42578125" style="1606" customWidth="1"/>
    <col min="7172" max="7172" width="12.140625" style="1606" customWidth="1"/>
    <col min="7173" max="7173" width="13.140625" style="1606" customWidth="1"/>
    <col min="7174" max="7174" width="10.7109375" style="1606" customWidth="1"/>
    <col min="7175" max="7176" width="9.140625" style="1606"/>
    <col min="7177" max="7177" width="38.5703125" style="1606" customWidth="1"/>
    <col min="7178" max="7424" width="9.140625" style="1606"/>
    <col min="7425" max="7425" width="6.85546875" style="1606" customWidth="1"/>
    <col min="7426" max="7426" width="39.5703125" style="1606" customWidth="1"/>
    <col min="7427" max="7427" width="12.42578125" style="1606" customWidth="1"/>
    <col min="7428" max="7428" width="12.140625" style="1606" customWidth="1"/>
    <col min="7429" max="7429" width="13.140625" style="1606" customWidth="1"/>
    <col min="7430" max="7430" width="10.7109375" style="1606" customWidth="1"/>
    <col min="7431" max="7432" width="9.140625" style="1606"/>
    <col min="7433" max="7433" width="38.5703125" style="1606" customWidth="1"/>
    <col min="7434" max="7680" width="9.140625" style="1606"/>
    <col min="7681" max="7681" width="6.85546875" style="1606" customWidth="1"/>
    <col min="7682" max="7682" width="39.5703125" style="1606" customWidth="1"/>
    <col min="7683" max="7683" width="12.42578125" style="1606" customWidth="1"/>
    <col min="7684" max="7684" width="12.140625" style="1606" customWidth="1"/>
    <col min="7685" max="7685" width="13.140625" style="1606" customWidth="1"/>
    <col min="7686" max="7686" width="10.7109375" style="1606" customWidth="1"/>
    <col min="7687" max="7688" width="9.140625" style="1606"/>
    <col min="7689" max="7689" width="38.5703125" style="1606" customWidth="1"/>
    <col min="7690" max="7936" width="9.140625" style="1606"/>
    <col min="7937" max="7937" width="6.85546875" style="1606" customWidth="1"/>
    <col min="7938" max="7938" width="39.5703125" style="1606" customWidth="1"/>
    <col min="7939" max="7939" width="12.42578125" style="1606" customWidth="1"/>
    <col min="7940" max="7940" width="12.140625" style="1606" customWidth="1"/>
    <col min="7941" max="7941" width="13.140625" style="1606" customWidth="1"/>
    <col min="7942" max="7942" width="10.7109375" style="1606" customWidth="1"/>
    <col min="7943" max="7944" width="9.140625" style="1606"/>
    <col min="7945" max="7945" width="38.5703125" style="1606" customWidth="1"/>
    <col min="7946" max="8192" width="9.140625" style="1606"/>
    <col min="8193" max="8193" width="6.85546875" style="1606" customWidth="1"/>
    <col min="8194" max="8194" width="39.5703125" style="1606" customWidth="1"/>
    <col min="8195" max="8195" width="12.42578125" style="1606" customWidth="1"/>
    <col min="8196" max="8196" width="12.140625" style="1606" customWidth="1"/>
    <col min="8197" max="8197" width="13.140625" style="1606" customWidth="1"/>
    <col min="8198" max="8198" width="10.7109375" style="1606" customWidth="1"/>
    <col min="8199" max="8200" width="9.140625" style="1606"/>
    <col min="8201" max="8201" width="38.5703125" style="1606" customWidth="1"/>
    <col min="8202" max="8448" width="9.140625" style="1606"/>
    <col min="8449" max="8449" width="6.85546875" style="1606" customWidth="1"/>
    <col min="8450" max="8450" width="39.5703125" style="1606" customWidth="1"/>
    <col min="8451" max="8451" width="12.42578125" style="1606" customWidth="1"/>
    <col min="8452" max="8452" width="12.140625" style="1606" customWidth="1"/>
    <col min="8453" max="8453" width="13.140625" style="1606" customWidth="1"/>
    <col min="8454" max="8454" width="10.7109375" style="1606" customWidth="1"/>
    <col min="8455" max="8456" width="9.140625" style="1606"/>
    <col min="8457" max="8457" width="38.5703125" style="1606" customWidth="1"/>
    <col min="8458" max="8704" width="9.140625" style="1606"/>
    <col min="8705" max="8705" width="6.85546875" style="1606" customWidth="1"/>
    <col min="8706" max="8706" width="39.5703125" style="1606" customWidth="1"/>
    <col min="8707" max="8707" width="12.42578125" style="1606" customWidth="1"/>
    <col min="8708" max="8708" width="12.140625" style="1606" customWidth="1"/>
    <col min="8709" max="8709" width="13.140625" style="1606" customWidth="1"/>
    <col min="8710" max="8710" width="10.7109375" style="1606" customWidth="1"/>
    <col min="8711" max="8712" width="9.140625" style="1606"/>
    <col min="8713" max="8713" width="38.5703125" style="1606" customWidth="1"/>
    <col min="8714" max="8960" width="9.140625" style="1606"/>
    <col min="8961" max="8961" width="6.85546875" style="1606" customWidth="1"/>
    <col min="8962" max="8962" width="39.5703125" style="1606" customWidth="1"/>
    <col min="8963" max="8963" width="12.42578125" style="1606" customWidth="1"/>
    <col min="8964" max="8964" width="12.140625" style="1606" customWidth="1"/>
    <col min="8965" max="8965" width="13.140625" style="1606" customWidth="1"/>
    <col min="8966" max="8966" width="10.7109375" style="1606" customWidth="1"/>
    <col min="8967" max="8968" width="9.140625" style="1606"/>
    <col min="8969" max="8969" width="38.5703125" style="1606" customWidth="1"/>
    <col min="8970" max="9216" width="9.140625" style="1606"/>
    <col min="9217" max="9217" width="6.85546875" style="1606" customWidth="1"/>
    <col min="9218" max="9218" width="39.5703125" style="1606" customWidth="1"/>
    <col min="9219" max="9219" width="12.42578125" style="1606" customWidth="1"/>
    <col min="9220" max="9220" width="12.140625" style="1606" customWidth="1"/>
    <col min="9221" max="9221" width="13.140625" style="1606" customWidth="1"/>
    <col min="9222" max="9222" width="10.7109375" style="1606" customWidth="1"/>
    <col min="9223" max="9224" width="9.140625" style="1606"/>
    <col min="9225" max="9225" width="38.5703125" style="1606" customWidth="1"/>
    <col min="9226" max="9472" width="9.140625" style="1606"/>
    <col min="9473" max="9473" width="6.85546875" style="1606" customWidth="1"/>
    <col min="9474" max="9474" width="39.5703125" style="1606" customWidth="1"/>
    <col min="9475" max="9475" width="12.42578125" style="1606" customWidth="1"/>
    <col min="9476" max="9476" width="12.140625" style="1606" customWidth="1"/>
    <col min="9477" max="9477" width="13.140625" style="1606" customWidth="1"/>
    <col min="9478" max="9478" width="10.7109375" style="1606" customWidth="1"/>
    <col min="9479" max="9480" width="9.140625" style="1606"/>
    <col min="9481" max="9481" width="38.5703125" style="1606" customWidth="1"/>
    <col min="9482" max="9728" width="9.140625" style="1606"/>
    <col min="9729" max="9729" width="6.85546875" style="1606" customWidth="1"/>
    <col min="9730" max="9730" width="39.5703125" style="1606" customWidth="1"/>
    <col min="9731" max="9731" width="12.42578125" style="1606" customWidth="1"/>
    <col min="9732" max="9732" width="12.140625" style="1606" customWidth="1"/>
    <col min="9733" max="9733" width="13.140625" style="1606" customWidth="1"/>
    <col min="9734" max="9734" width="10.7109375" style="1606" customWidth="1"/>
    <col min="9735" max="9736" width="9.140625" style="1606"/>
    <col min="9737" max="9737" width="38.5703125" style="1606" customWidth="1"/>
    <col min="9738" max="9984" width="9.140625" style="1606"/>
    <col min="9985" max="9985" width="6.85546875" style="1606" customWidth="1"/>
    <col min="9986" max="9986" width="39.5703125" style="1606" customWidth="1"/>
    <col min="9987" max="9987" width="12.42578125" style="1606" customWidth="1"/>
    <col min="9988" max="9988" width="12.140625" style="1606" customWidth="1"/>
    <col min="9989" max="9989" width="13.140625" style="1606" customWidth="1"/>
    <col min="9990" max="9990" width="10.7109375" style="1606" customWidth="1"/>
    <col min="9991" max="9992" width="9.140625" style="1606"/>
    <col min="9993" max="9993" width="38.5703125" style="1606" customWidth="1"/>
    <col min="9994" max="10240" width="9.140625" style="1606"/>
    <col min="10241" max="10241" width="6.85546875" style="1606" customWidth="1"/>
    <col min="10242" max="10242" width="39.5703125" style="1606" customWidth="1"/>
    <col min="10243" max="10243" width="12.42578125" style="1606" customWidth="1"/>
    <col min="10244" max="10244" width="12.140625" style="1606" customWidth="1"/>
    <col min="10245" max="10245" width="13.140625" style="1606" customWidth="1"/>
    <col min="10246" max="10246" width="10.7109375" style="1606" customWidth="1"/>
    <col min="10247" max="10248" width="9.140625" style="1606"/>
    <col min="10249" max="10249" width="38.5703125" style="1606" customWidth="1"/>
    <col min="10250" max="10496" width="9.140625" style="1606"/>
    <col min="10497" max="10497" width="6.85546875" style="1606" customWidth="1"/>
    <col min="10498" max="10498" width="39.5703125" style="1606" customWidth="1"/>
    <col min="10499" max="10499" width="12.42578125" style="1606" customWidth="1"/>
    <col min="10500" max="10500" width="12.140625" style="1606" customWidth="1"/>
    <col min="10501" max="10501" width="13.140625" style="1606" customWidth="1"/>
    <col min="10502" max="10502" width="10.7109375" style="1606" customWidth="1"/>
    <col min="10503" max="10504" width="9.140625" style="1606"/>
    <col min="10505" max="10505" width="38.5703125" style="1606" customWidth="1"/>
    <col min="10506" max="10752" width="9.140625" style="1606"/>
    <col min="10753" max="10753" width="6.85546875" style="1606" customWidth="1"/>
    <col min="10754" max="10754" width="39.5703125" style="1606" customWidth="1"/>
    <col min="10755" max="10755" width="12.42578125" style="1606" customWidth="1"/>
    <col min="10756" max="10756" width="12.140625" style="1606" customWidth="1"/>
    <col min="10757" max="10757" width="13.140625" style="1606" customWidth="1"/>
    <col min="10758" max="10758" width="10.7109375" style="1606" customWidth="1"/>
    <col min="10759" max="10760" width="9.140625" style="1606"/>
    <col min="10761" max="10761" width="38.5703125" style="1606" customWidth="1"/>
    <col min="10762" max="11008" width="9.140625" style="1606"/>
    <col min="11009" max="11009" width="6.85546875" style="1606" customWidth="1"/>
    <col min="11010" max="11010" width="39.5703125" style="1606" customWidth="1"/>
    <col min="11011" max="11011" width="12.42578125" style="1606" customWidth="1"/>
    <col min="11012" max="11012" width="12.140625" style="1606" customWidth="1"/>
    <col min="11013" max="11013" width="13.140625" style="1606" customWidth="1"/>
    <col min="11014" max="11014" width="10.7109375" style="1606" customWidth="1"/>
    <col min="11015" max="11016" width="9.140625" style="1606"/>
    <col min="11017" max="11017" width="38.5703125" style="1606" customWidth="1"/>
    <col min="11018" max="11264" width="9.140625" style="1606"/>
    <col min="11265" max="11265" width="6.85546875" style="1606" customWidth="1"/>
    <col min="11266" max="11266" width="39.5703125" style="1606" customWidth="1"/>
    <col min="11267" max="11267" width="12.42578125" style="1606" customWidth="1"/>
    <col min="11268" max="11268" width="12.140625" style="1606" customWidth="1"/>
    <col min="11269" max="11269" width="13.140625" style="1606" customWidth="1"/>
    <col min="11270" max="11270" width="10.7109375" style="1606" customWidth="1"/>
    <col min="11271" max="11272" width="9.140625" style="1606"/>
    <col min="11273" max="11273" width="38.5703125" style="1606" customWidth="1"/>
    <col min="11274" max="11520" width="9.140625" style="1606"/>
    <col min="11521" max="11521" width="6.85546875" style="1606" customWidth="1"/>
    <col min="11522" max="11522" width="39.5703125" style="1606" customWidth="1"/>
    <col min="11523" max="11523" width="12.42578125" style="1606" customWidth="1"/>
    <col min="11524" max="11524" width="12.140625" style="1606" customWidth="1"/>
    <col min="11525" max="11525" width="13.140625" style="1606" customWidth="1"/>
    <col min="11526" max="11526" width="10.7109375" style="1606" customWidth="1"/>
    <col min="11527" max="11528" width="9.140625" style="1606"/>
    <col min="11529" max="11529" width="38.5703125" style="1606" customWidth="1"/>
    <col min="11530" max="11776" width="9.140625" style="1606"/>
    <col min="11777" max="11777" width="6.85546875" style="1606" customWidth="1"/>
    <col min="11778" max="11778" width="39.5703125" style="1606" customWidth="1"/>
    <col min="11779" max="11779" width="12.42578125" style="1606" customWidth="1"/>
    <col min="11780" max="11780" width="12.140625" style="1606" customWidth="1"/>
    <col min="11781" max="11781" width="13.140625" style="1606" customWidth="1"/>
    <col min="11782" max="11782" width="10.7109375" style="1606" customWidth="1"/>
    <col min="11783" max="11784" width="9.140625" style="1606"/>
    <col min="11785" max="11785" width="38.5703125" style="1606" customWidth="1"/>
    <col min="11786" max="12032" width="9.140625" style="1606"/>
    <col min="12033" max="12033" width="6.85546875" style="1606" customWidth="1"/>
    <col min="12034" max="12034" width="39.5703125" style="1606" customWidth="1"/>
    <col min="12035" max="12035" width="12.42578125" style="1606" customWidth="1"/>
    <col min="12036" max="12036" width="12.140625" style="1606" customWidth="1"/>
    <col min="12037" max="12037" width="13.140625" style="1606" customWidth="1"/>
    <col min="12038" max="12038" width="10.7109375" style="1606" customWidth="1"/>
    <col min="12039" max="12040" width="9.140625" style="1606"/>
    <col min="12041" max="12041" width="38.5703125" style="1606" customWidth="1"/>
    <col min="12042" max="12288" width="9.140625" style="1606"/>
    <col min="12289" max="12289" width="6.85546875" style="1606" customWidth="1"/>
    <col min="12290" max="12290" width="39.5703125" style="1606" customWidth="1"/>
    <col min="12291" max="12291" width="12.42578125" style="1606" customWidth="1"/>
    <col min="12292" max="12292" width="12.140625" style="1606" customWidth="1"/>
    <col min="12293" max="12293" width="13.140625" style="1606" customWidth="1"/>
    <col min="12294" max="12294" width="10.7109375" style="1606" customWidth="1"/>
    <col min="12295" max="12296" width="9.140625" style="1606"/>
    <col min="12297" max="12297" width="38.5703125" style="1606" customWidth="1"/>
    <col min="12298" max="12544" width="9.140625" style="1606"/>
    <col min="12545" max="12545" width="6.85546875" style="1606" customWidth="1"/>
    <col min="12546" max="12546" width="39.5703125" style="1606" customWidth="1"/>
    <col min="12547" max="12547" width="12.42578125" style="1606" customWidth="1"/>
    <col min="12548" max="12548" width="12.140625" style="1606" customWidth="1"/>
    <col min="12549" max="12549" width="13.140625" style="1606" customWidth="1"/>
    <col min="12550" max="12550" width="10.7109375" style="1606" customWidth="1"/>
    <col min="12551" max="12552" width="9.140625" style="1606"/>
    <col min="12553" max="12553" width="38.5703125" style="1606" customWidth="1"/>
    <col min="12554" max="12800" width="9.140625" style="1606"/>
    <col min="12801" max="12801" width="6.85546875" style="1606" customWidth="1"/>
    <col min="12802" max="12802" width="39.5703125" style="1606" customWidth="1"/>
    <col min="12803" max="12803" width="12.42578125" style="1606" customWidth="1"/>
    <col min="12804" max="12804" width="12.140625" style="1606" customWidth="1"/>
    <col min="12805" max="12805" width="13.140625" style="1606" customWidth="1"/>
    <col min="12806" max="12806" width="10.7109375" style="1606" customWidth="1"/>
    <col min="12807" max="12808" width="9.140625" style="1606"/>
    <col min="12809" max="12809" width="38.5703125" style="1606" customWidth="1"/>
    <col min="12810" max="13056" width="9.140625" style="1606"/>
    <col min="13057" max="13057" width="6.85546875" style="1606" customWidth="1"/>
    <col min="13058" max="13058" width="39.5703125" style="1606" customWidth="1"/>
    <col min="13059" max="13059" width="12.42578125" style="1606" customWidth="1"/>
    <col min="13060" max="13060" width="12.140625" style="1606" customWidth="1"/>
    <col min="13061" max="13061" width="13.140625" style="1606" customWidth="1"/>
    <col min="13062" max="13062" width="10.7109375" style="1606" customWidth="1"/>
    <col min="13063" max="13064" width="9.140625" style="1606"/>
    <col min="13065" max="13065" width="38.5703125" style="1606" customWidth="1"/>
    <col min="13066" max="13312" width="9.140625" style="1606"/>
    <col min="13313" max="13313" width="6.85546875" style="1606" customWidth="1"/>
    <col min="13314" max="13314" width="39.5703125" style="1606" customWidth="1"/>
    <col min="13315" max="13315" width="12.42578125" style="1606" customWidth="1"/>
    <col min="13316" max="13316" width="12.140625" style="1606" customWidth="1"/>
    <col min="13317" max="13317" width="13.140625" style="1606" customWidth="1"/>
    <col min="13318" max="13318" width="10.7109375" style="1606" customWidth="1"/>
    <col min="13319" max="13320" width="9.140625" style="1606"/>
    <col min="13321" max="13321" width="38.5703125" style="1606" customWidth="1"/>
    <col min="13322" max="13568" width="9.140625" style="1606"/>
    <col min="13569" max="13569" width="6.85546875" style="1606" customWidth="1"/>
    <col min="13570" max="13570" width="39.5703125" style="1606" customWidth="1"/>
    <col min="13571" max="13571" width="12.42578125" style="1606" customWidth="1"/>
    <col min="13572" max="13572" width="12.140625" style="1606" customWidth="1"/>
    <col min="13573" max="13573" width="13.140625" style="1606" customWidth="1"/>
    <col min="13574" max="13574" width="10.7109375" style="1606" customWidth="1"/>
    <col min="13575" max="13576" width="9.140625" style="1606"/>
    <col min="13577" max="13577" width="38.5703125" style="1606" customWidth="1"/>
    <col min="13578" max="13824" width="9.140625" style="1606"/>
    <col min="13825" max="13825" width="6.85546875" style="1606" customWidth="1"/>
    <col min="13826" max="13826" width="39.5703125" style="1606" customWidth="1"/>
    <col min="13827" max="13827" width="12.42578125" style="1606" customWidth="1"/>
    <col min="13828" max="13828" width="12.140625" style="1606" customWidth="1"/>
    <col min="13829" max="13829" width="13.140625" style="1606" customWidth="1"/>
    <col min="13830" max="13830" width="10.7109375" style="1606" customWidth="1"/>
    <col min="13831" max="13832" width="9.140625" style="1606"/>
    <col min="13833" max="13833" width="38.5703125" style="1606" customWidth="1"/>
    <col min="13834" max="14080" width="9.140625" style="1606"/>
    <col min="14081" max="14081" width="6.85546875" style="1606" customWidth="1"/>
    <col min="14082" max="14082" width="39.5703125" style="1606" customWidth="1"/>
    <col min="14083" max="14083" width="12.42578125" style="1606" customWidth="1"/>
    <col min="14084" max="14084" width="12.140625" style="1606" customWidth="1"/>
    <col min="14085" max="14085" width="13.140625" style="1606" customWidth="1"/>
    <col min="14086" max="14086" width="10.7109375" style="1606" customWidth="1"/>
    <col min="14087" max="14088" width="9.140625" style="1606"/>
    <col min="14089" max="14089" width="38.5703125" style="1606" customWidth="1"/>
    <col min="14090" max="14336" width="9.140625" style="1606"/>
    <col min="14337" max="14337" width="6.85546875" style="1606" customWidth="1"/>
    <col min="14338" max="14338" width="39.5703125" style="1606" customWidth="1"/>
    <col min="14339" max="14339" width="12.42578125" style="1606" customWidth="1"/>
    <col min="14340" max="14340" width="12.140625" style="1606" customWidth="1"/>
    <col min="14341" max="14341" width="13.140625" style="1606" customWidth="1"/>
    <col min="14342" max="14342" width="10.7109375" style="1606" customWidth="1"/>
    <col min="14343" max="14344" width="9.140625" style="1606"/>
    <col min="14345" max="14345" width="38.5703125" style="1606" customWidth="1"/>
    <col min="14346" max="14592" width="9.140625" style="1606"/>
    <col min="14593" max="14593" width="6.85546875" style="1606" customWidth="1"/>
    <col min="14594" max="14594" width="39.5703125" style="1606" customWidth="1"/>
    <col min="14595" max="14595" width="12.42578125" style="1606" customWidth="1"/>
    <col min="14596" max="14596" width="12.140625" style="1606" customWidth="1"/>
    <col min="14597" max="14597" width="13.140625" style="1606" customWidth="1"/>
    <col min="14598" max="14598" width="10.7109375" style="1606" customWidth="1"/>
    <col min="14599" max="14600" width="9.140625" style="1606"/>
    <col min="14601" max="14601" width="38.5703125" style="1606" customWidth="1"/>
    <col min="14602" max="14848" width="9.140625" style="1606"/>
    <col min="14849" max="14849" width="6.85546875" style="1606" customWidth="1"/>
    <col min="14850" max="14850" width="39.5703125" style="1606" customWidth="1"/>
    <col min="14851" max="14851" width="12.42578125" style="1606" customWidth="1"/>
    <col min="14852" max="14852" width="12.140625" style="1606" customWidth="1"/>
    <col min="14853" max="14853" width="13.140625" style="1606" customWidth="1"/>
    <col min="14854" max="14854" width="10.7109375" style="1606" customWidth="1"/>
    <col min="14855" max="14856" width="9.140625" style="1606"/>
    <col min="14857" max="14857" width="38.5703125" style="1606" customWidth="1"/>
    <col min="14858" max="15104" width="9.140625" style="1606"/>
    <col min="15105" max="15105" width="6.85546875" style="1606" customWidth="1"/>
    <col min="15106" max="15106" width="39.5703125" style="1606" customWidth="1"/>
    <col min="15107" max="15107" width="12.42578125" style="1606" customWidth="1"/>
    <col min="15108" max="15108" width="12.140625" style="1606" customWidth="1"/>
    <col min="15109" max="15109" width="13.140625" style="1606" customWidth="1"/>
    <col min="15110" max="15110" width="10.7109375" style="1606" customWidth="1"/>
    <col min="15111" max="15112" width="9.140625" style="1606"/>
    <col min="15113" max="15113" width="38.5703125" style="1606" customWidth="1"/>
    <col min="15114" max="15360" width="9.140625" style="1606"/>
    <col min="15361" max="15361" width="6.85546875" style="1606" customWidth="1"/>
    <col min="15362" max="15362" width="39.5703125" style="1606" customWidth="1"/>
    <col min="15363" max="15363" width="12.42578125" style="1606" customWidth="1"/>
    <col min="15364" max="15364" width="12.140625" style="1606" customWidth="1"/>
    <col min="15365" max="15365" width="13.140625" style="1606" customWidth="1"/>
    <col min="15366" max="15366" width="10.7109375" style="1606" customWidth="1"/>
    <col min="15367" max="15368" width="9.140625" style="1606"/>
    <col min="15369" max="15369" width="38.5703125" style="1606" customWidth="1"/>
    <col min="15370" max="15616" width="9.140625" style="1606"/>
    <col min="15617" max="15617" width="6.85546875" style="1606" customWidth="1"/>
    <col min="15618" max="15618" width="39.5703125" style="1606" customWidth="1"/>
    <col min="15619" max="15619" width="12.42578125" style="1606" customWidth="1"/>
    <col min="15620" max="15620" width="12.140625" style="1606" customWidth="1"/>
    <col min="15621" max="15621" width="13.140625" style="1606" customWidth="1"/>
    <col min="15622" max="15622" width="10.7109375" style="1606" customWidth="1"/>
    <col min="15623" max="15624" width="9.140625" style="1606"/>
    <col min="15625" max="15625" width="38.5703125" style="1606" customWidth="1"/>
    <col min="15626" max="15872" width="9.140625" style="1606"/>
    <col min="15873" max="15873" width="6.85546875" style="1606" customWidth="1"/>
    <col min="15874" max="15874" width="39.5703125" style="1606" customWidth="1"/>
    <col min="15875" max="15875" width="12.42578125" style="1606" customWidth="1"/>
    <col min="15876" max="15876" width="12.140625" style="1606" customWidth="1"/>
    <col min="15877" max="15877" width="13.140625" style="1606" customWidth="1"/>
    <col min="15878" max="15878" width="10.7109375" style="1606" customWidth="1"/>
    <col min="15879" max="15880" width="9.140625" style="1606"/>
    <col min="15881" max="15881" width="38.5703125" style="1606" customWidth="1"/>
    <col min="15882" max="16128" width="9.140625" style="1606"/>
    <col min="16129" max="16129" width="6.85546875" style="1606" customWidth="1"/>
    <col min="16130" max="16130" width="39.5703125" style="1606" customWidth="1"/>
    <col min="16131" max="16131" width="12.42578125" style="1606" customWidth="1"/>
    <col min="16132" max="16132" width="12.140625" style="1606" customWidth="1"/>
    <col min="16133" max="16133" width="13.140625" style="1606" customWidth="1"/>
    <col min="16134" max="16134" width="10.7109375" style="1606" customWidth="1"/>
    <col min="16135" max="16136" width="9.140625" style="1606"/>
    <col min="16137" max="16137" width="38.5703125" style="1606" customWidth="1"/>
    <col min="16138" max="16384" width="9.140625" style="1606"/>
  </cols>
  <sheetData>
    <row r="1" spans="1:10" ht="24" customHeight="1">
      <c r="A1" s="1750" t="str">
        <f>+'CCTL.PB02'!A1</f>
        <v>UBND XÃ CƯỜNG LỢI</v>
      </c>
      <c r="B1" s="1927"/>
      <c r="E1" s="1928" t="s">
        <v>901</v>
      </c>
      <c r="F1" s="1928"/>
    </row>
    <row r="2" spans="1:10" ht="30.75" customHeight="1">
      <c r="A2" s="1747" t="s">
        <v>1264</v>
      </c>
      <c r="B2" s="1747"/>
      <c r="C2" s="1747"/>
      <c r="D2" s="1747"/>
      <c r="E2" s="1747"/>
      <c r="F2" s="1747"/>
    </row>
    <row r="3" spans="1:10">
      <c r="A3" s="1753" t="str">
        <f>+'CCTL.PB02'!A3</f>
        <v>(Kèm theo Báo cáo số 151/BC-UBND ngày 20/3/2026 của UBND xã Cường Lợi)</v>
      </c>
      <c r="B3" s="1753"/>
      <c r="C3" s="1753"/>
      <c r="D3" s="1753"/>
      <c r="E3" s="1753"/>
      <c r="F3" s="1753"/>
    </row>
    <row r="4" spans="1:10" ht="23.25" customHeight="1">
      <c r="E4" s="1929" t="s">
        <v>1254</v>
      </c>
      <c r="F4" s="1929"/>
    </row>
    <row r="5" spans="1:10">
      <c r="A5" s="1930" t="s">
        <v>291</v>
      </c>
      <c r="B5" s="1930" t="s">
        <v>292</v>
      </c>
      <c r="C5" s="1930" t="s">
        <v>142</v>
      </c>
      <c r="D5" s="1932" t="s">
        <v>231</v>
      </c>
      <c r="E5" s="1933"/>
      <c r="F5" s="1930" t="s">
        <v>238</v>
      </c>
    </row>
    <row r="6" spans="1:10" s="1609" customFormat="1" ht="31.5">
      <c r="A6" s="1931"/>
      <c r="B6" s="1931"/>
      <c r="C6" s="1931"/>
      <c r="D6" s="1608" t="s">
        <v>1255</v>
      </c>
      <c r="E6" s="1608" t="s">
        <v>1256</v>
      </c>
      <c r="F6" s="1931"/>
    </row>
    <row r="7" spans="1:10" s="1609" customFormat="1" ht="20.25" customHeight="1">
      <c r="A7" s="1610"/>
      <c r="B7" s="1610" t="s">
        <v>142</v>
      </c>
      <c r="C7" s="1611">
        <f>+C8</f>
        <v>50963.561000000002</v>
      </c>
      <c r="D7" s="1611">
        <f>+D8</f>
        <v>21552.917999999998</v>
      </c>
      <c r="E7" s="1611">
        <f>+E8</f>
        <v>29410.643</v>
      </c>
      <c r="F7" s="1612"/>
    </row>
    <row r="8" spans="1:10" s="1609" customFormat="1" ht="20.25" customHeight="1">
      <c r="A8" s="460">
        <v>1</v>
      </c>
      <c r="B8" s="1613" t="s">
        <v>1257</v>
      </c>
      <c r="C8" s="1614">
        <f>+C9+C11+C13+C12+C10</f>
        <v>50963.561000000002</v>
      </c>
      <c r="D8" s="1614">
        <f>+D9+D11+D13+D12+D10</f>
        <v>21552.917999999998</v>
      </c>
      <c r="E8" s="1614">
        <f>+E9+E11+E13+E12</f>
        <v>29410.643</v>
      </c>
      <c r="F8" s="1613"/>
    </row>
    <row r="9" spans="1:10" ht="37.5" customHeight="1">
      <c r="A9" s="1615" t="s">
        <v>60</v>
      </c>
      <c r="B9" s="1616" t="s">
        <v>1258</v>
      </c>
      <c r="C9" s="1617">
        <f>+D9</f>
        <v>21489.1</v>
      </c>
      <c r="D9" s="1617">
        <v>21489.1</v>
      </c>
      <c r="E9" s="1617"/>
      <c r="F9" s="1617"/>
      <c r="I9" s="1626"/>
    </row>
    <row r="10" spans="1:10" ht="37.5" customHeight="1">
      <c r="A10" s="1615" t="s">
        <v>60</v>
      </c>
      <c r="B10" s="1616" t="s">
        <v>1440</v>
      </c>
      <c r="C10" s="1617">
        <f>+D10</f>
        <v>63.817999999999998</v>
      </c>
      <c r="D10" s="1617">
        <v>63.817999999999998</v>
      </c>
      <c r="E10" s="1617"/>
      <c r="F10" s="1617"/>
    </row>
    <row r="11" spans="1:10" ht="39" customHeight="1">
      <c r="A11" s="1615" t="s">
        <v>60</v>
      </c>
      <c r="B11" s="1616" t="s">
        <v>1259</v>
      </c>
      <c r="C11" s="1617">
        <f>+E11</f>
        <v>9160.518</v>
      </c>
      <c r="D11" s="1617"/>
      <c r="E11" s="1617">
        <f>10077.518-917</f>
        <v>9160.518</v>
      </c>
      <c r="F11" s="1617"/>
    </row>
    <row r="12" spans="1:10" ht="72" customHeight="1">
      <c r="A12" s="1615" t="s">
        <v>60</v>
      </c>
      <c r="B12" s="1618" t="s">
        <v>1260</v>
      </c>
      <c r="C12" s="1617">
        <f>+E12</f>
        <v>917</v>
      </c>
      <c r="D12" s="1617"/>
      <c r="E12" s="1617">
        <v>917</v>
      </c>
      <c r="F12" s="1617"/>
    </row>
    <row r="13" spans="1:10" ht="41.25" customHeight="1">
      <c r="A13" s="1615" t="s">
        <v>60</v>
      </c>
      <c r="B13" s="1619" t="s">
        <v>1261</v>
      </c>
      <c r="C13" s="1620">
        <v>19333.125</v>
      </c>
      <c r="D13" s="1620"/>
      <c r="E13" s="1620">
        <v>19333.125</v>
      </c>
      <c r="F13" s="1620"/>
    </row>
    <row r="14" spans="1:10" hidden="1">
      <c r="B14" s="1924"/>
      <c r="C14" s="1924"/>
      <c r="D14" s="1924"/>
      <c r="E14" s="1924"/>
      <c r="F14" s="1924"/>
    </row>
    <row r="15" spans="1:10" hidden="1">
      <c r="B15" s="1621"/>
      <c r="C15" s="1925" t="s">
        <v>1262</v>
      </c>
      <c r="D15" s="1925"/>
      <c r="E15" s="1925"/>
      <c r="F15" s="1925"/>
      <c r="G15" s="1622"/>
      <c r="H15" s="1622"/>
      <c r="I15" s="1622"/>
      <c r="J15" s="1622"/>
    </row>
    <row r="16" spans="1:10" hidden="1">
      <c r="A16" s="1926"/>
      <c r="B16" s="1926"/>
      <c r="C16" s="1926" t="s">
        <v>1263</v>
      </c>
      <c r="D16" s="1926"/>
      <c r="E16" s="1926"/>
      <c r="F16" s="1926"/>
      <c r="G16" s="1623"/>
      <c r="H16" s="1623"/>
      <c r="I16" s="1623"/>
      <c r="J16" s="1623"/>
    </row>
    <row r="17" spans="3:6" hidden="1">
      <c r="C17" s="1753" t="s">
        <v>141</v>
      </c>
      <c r="D17" s="1753"/>
      <c r="E17" s="1753"/>
      <c r="F17" s="1753"/>
    </row>
    <row r="18" spans="3:6" hidden="1"/>
    <row r="19" spans="3:6" hidden="1"/>
    <row r="20" spans="3:6" hidden="1"/>
    <row r="21" spans="3:6" hidden="1"/>
    <row r="22" spans="3:6" hidden="1"/>
    <row r="23" spans="3:6" hidden="1"/>
    <row r="24" spans="3:6" hidden="1"/>
    <row r="25" spans="3:6" hidden="1"/>
  </sheetData>
  <mergeCells count="15">
    <mergeCell ref="A5:A6"/>
    <mergeCell ref="B5:B6"/>
    <mergeCell ref="C5:C6"/>
    <mergeCell ref="D5:E5"/>
    <mergeCell ref="F5:F6"/>
    <mergeCell ref="A1:B1"/>
    <mergeCell ref="E1:F1"/>
    <mergeCell ref="A3:F3"/>
    <mergeCell ref="A2:F2"/>
    <mergeCell ref="E4:F4"/>
    <mergeCell ref="B14:F14"/>
    <mergeCell ref="C15:F15"/>
    <mergeCell ref="A16:B16"/>
    <mergeCell ref="C16:F16"/>
    <mergeCell ref="C17:F17"/>
  </mergeCells>
  <pageMargins left="0.7" right="0.7" top="0.75" bottom="0.75" header="0.3" footer="0.3"/>
  <pageSetup paperSize="9" scale="90"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DF203-2DC8-441F-86A1-031ADF9D61CD}">
  <dimension ref="A1:X87"/>
  <sheetViews>
    <sheetView view="pageBreakPreview" topLeftCell="A63" zoomScale="60" zoomScaleNormal="100" workbookViewId="0">
      <selection activeCell="O37" sqref="O37"/>
    </sheetView>
  </sheetViews>
  <sheetFormatPr defaultRowHeight="12"/>
  <cols>
    <col min="1" max="1" width="4.7109375" style="1629" customWidth="1"/>
    <col min="2" max="2" width="29.7109375" style="1629" customWidth="1"/>
    <col min="3" max="3" width="1.5703125" style="1629" hidden="1" customWidth="1"/>
    <col min="4" max="4" width="6" style="1629" hidden="1" customWidth="1"/>
    <col min="5" max="5" width="6.5703125" style="1629" hidden="1" customWidth="1"/>
    <col min="6" max="7" width="7.85546875" style="1629" hidden="1" customWidth="1"/>
    <col min="8" max="8" width="11.85546875" style="1629" hidden="1" customWidth="1"/>
    <col min="9" max="9" width="12.5703125" style="1629" hidden="1" customWidth="1"/>
    <col min="10" max="10" width="7.85546875" style="1629" hidden="1" customWidth="1"/>
    <col min="11" max="12" width="6.85546875" style="1629" hidden="1" customWidth="1"/>
    <col min="13" max="14" width="7.85546875" style="1629" hidden="1" customWidth="1"/>
    <col min="15" max="15" width="13.140625" style="1629" customWidth="1"/>
    <col min="16" max="16" width="10.5703125" style="1629" customWidth="1"/>
    <col min="17" max="17" width="11.7109375" style="1629" customWidth="1"/>
    <col min="18" max="19" width="7.42578125" style="1629" hidden="1" customWidth="1"/>
    <col min="20" max="20" width="11.85546875" style="1629" hidden="1" customWidth="1"/>
    <col min="21" max="23" width="7.42578125" style="1629" hidden="1" customWidth="1"/>
    <col min="24" max="24" width="19.28515625" style="1629" customWidth="1"/>
    <col min="25" max="257" width="9.140625" style="1629"/>
    <col min="258" max="258" width="4.7109375" style="1629" customWidth="1"/>
    <col min="259" max="259" width="29.7109375" style="1629" customWidth="1"/>
    <col min="260" max="260" width="0" style="1629" hidden="1" customWidth="1"/>
    <col min="261" max="261" width="6" style="1629" customWidth="1"/>
    <col min="262" max="262" width="6.5703125" style="1629" customWidth="1"/>
    <col min="263" max="264" width="0" style="1629" hidden="1" customWidth="1"/>
    <col min="265" max="265" width="11.85546875" style="1629" customWidth="1"/>
    <col min="266" max="266" width="12.5703125" style="1629" customWidth="1"/>
    <col min="267" max="267" width="0" style="1629" hidden="1" customWidth="1"/>
    <col min="268" max="269" width="6.85546875" style="1629" customWidth="1"/>
    <col min="270" max="271" width="0" style="1629" hidden="1" customWidth="1"/>
    <col min="272" max="272" width="10.5703125" style="1629" customWidth="1"/>
    <col min="273" max="273" width="11.7109375" style="1629" customWidth="1"/>
    <col min="274" max="274" width="7.42578125" style="1629" customWidth="1"/>
    <col min="275" max="275" width="0" style="1629" hidden="1" customWidth="1"/>
    <col min="276" max="276" width="11.85546875" style="1629" customWidth="1"/>
    <col min="277" max="277" width="7.42578125" style="1629" customWidth="1"/>
    <col min="278" max="278" width="0" style="1629" hidden="1" customWidth="1"/>
    <col min="279" max="279" width="7.42578125" style="1629" customWidth="1"/>
    <col min="280" max="280" width="19.28515625" style="1629" customWidth="1"/>
    <col min="281" max="513" width="9.140625" style="1629"/>
    <col min="514" max="514" width="4.7109375" style="1629" customWidth="1"/>
    <col min="515" max="515" width="29.7109375" style="1629" customWidth="1"/>
    <col min="516" max="516" width="0" style="1629" hidden="1" customWidth="1"/>
    <col min="517" max="517" width="6" style="1629" customWidth="1"/>
    <col min="518" max="518" width="6.5703125" style="1629" customWidth="1"/>
    <col min="519" max="520" width="0" style="1629" hidden="1" customWidth="1"/>
    <col min="521" max="521" width="11.85546875" style="1629" customWidth="1"/>
    <col min="522" max="522" width="12.5703125" style="1629" customWidth="1"/>
    <col min="523" max="523" width="0" style="1629" hidden="1" customWidth="1"/>
    <col min="524" max="525" width="6.85546875" style="1629" customWidth="1"/>
    <col min="526" max="527" width="0" style="1629" hidden="1" customWidth="1"/>
    <col min="528" max="528" width="10.5703125" style="1629" customWidth="1"/>
    <col min="529" max="529" width="11.7109375" style="1629" customWidth="1"/>
    <col min="530" max="530" width="7.42578125" style="1629" customWidth="1"/>
    <col min="531" max="531" width="0" style="1629" hidden="1" customWidth="1"/>
    <col min="532" max="532" width="11.85546875" style="1629" customWidth="1"/>
    <col min="533" max="533" width="7.42578125" style="1629" customWidth="1"/>
    <col min="534" max="534" width="0" style="1629" hidden="1" customWidth="1"/>
    <col min="535" max="535" width="7.42578125" style="1629" customWidth="1"/>
    <col min="536" max="536" width="19.28515625" style="1629" customWidth="1"/>
    <col min="537" max="769" width="9.140625" style="1629"/>
    <col min="770" max="770" width="4.7109375" style="1629" customWidth="1"/>
    <col min="771" max="771" width="29.7109375" style="1629" customWidth="1"/>
    <col min="772" max="772" width="0" style="1629" hidden="1" customWidth="1"/>
    <col min="773" max="773" width="6" style="1629" customWidth="1"/>
    <col min="774" max="774" width="6.5703125" style="1629" customWidth="1"/>
    <col min="775" max="776" width="0" style="1629" hidden="1" customWidth="1"/>
    <col min="777" max="777" width="11.85546875" style="1629" customWidth="1"/>
    <col min="778" max="778" width="12.5703125" style="1629" customWidth="1"/>
    <col min="779" max="779" width="0" style="1629" hidden="1" customWidth="1"/>
    <col min="780" max="781" width="6.85546875" style="1629" customWidth="1"/>
    <col min="782" max="783" width="0" style="1629" hidden="1" customWidth="1"/>
    <col min="784" max="784" width="10.5703125" style="1629" customWidth="1"/>
    <col min="785" max="785" width="11.7109375" style="1629" customWidth="1"/>
    <col min="786" max="786" width="7.42578125" style="1629" customWidth="1"/>
    <col min="787" max="787" width="0" style="1629" hidden="1" customWidth="1"/>
    <col min="788" max="788" width="11.85546875" style="1629" customWidth="1"/>
    <col min="789" max="789" width="7.42578125" style="1629" customWidth="1"/>
    <col min="790" max="790" width="0" style="1629" hidden="1" customWidth="1"/>
    <col min="791" max="791" width="7.42578125" style="1629" customWidth="1"/>
    <col min="792" max="792" width="19.28515625" style="1629" customWidth="1"/>
    <col min="793" max="1025" width="9.140625" style="1629"/>
    <col min="1026" max="1026" width="4.7109375" style="1629" customWidth="1"/>
    <col min="1027" max="1027" width="29.7109375" style="1629" customWidth="1"/>
    <col min="1028" max="1028" width="0" style="1629" hidden="1" customWidth="1"/>
    <col min="1029" max="1029" width="6" style="1629" customWidth="1"/>
    <col min="1030" max="1030" width="6.5703125" style="1629" customWidth="1"/>
    <col min="1031" max="1032" width="0" style="1629" hidden="1" customWidth="1"/>
    <col min="1033" max="1033" width="11.85546875" style="1629" customWidth="1"/>
    <col min="1034" max="1034" width="12.5703125" style="1629" customWidth="1"/>
    <col min="1035" max="1035" width="0" style="1629" hidden="1" customWidth="1"/>
    <col min="1036" max="1037" width="6.85546875" style="1629" customWidth="1"/>
    <col min="1038" max="1039" width="0" style="1629" hidden="1" customWidth="1"/>
    <col min="1040" max="1040" width="10.5703125" style="1629" customWidth="1"/>
    <col min="1041" max="1041" width="11.7109375" style="1629" customWidth="1"/>
    <col min="1042" max="1042" width="7.42578125" style="1629" customWidth="1"/>
    <col min="1043" max="1043" width="0" style="1629" hidden="1" customWidth="1"/>
    <col min="1044" max="1044" width="11.85546875" style="1629" customWidth="1"/>
    <col min="1045" max="1045" width="7.42578125" style="1629" customWidth="1"/>
    <col min="1046" max="1046" width="0" style="1629" hidden="1" customWidth="1"/>
    <col min="1047" max="1047" width="7.42578125" style="1629" customWidth="1"/>
    <col min="1048" max="1048" width="19.28515625" style="1629" customWidth="1"/>
    <col min="1049" max="1281" width="9.140625" style="1629"/>
    <col min="1282" max="1282" width="4.7109375" style="1629" customWidth="1"/>
    <col min="1283" max="1283" width="29.7109375" style="1629" customWidth="1"/>
    <col min="1284" max="1284" width="0" style="1629" hidden="1" customWidth="1"/>
    <col min="1285" max="1285" width="6" style="1629" customWidth="1"/>
    <col min="1286" max="1286" width="6.5703125" style="1629" customWidth="1"/>
    <col min="1287" max="1288" width="0" style="1629" hidden="1" customWidth="1"/>
    <col min="1289" max="1289" width="11.85546875" style="1629" customWidth="1"/>
    <col min="1290" max="1290" width="12.5703125" style="1629" customWidth="1"/>
    <col min="1291" max="1291" width="0" style="1629" hidden="1" customWidth="1"/>
    <col min="1292" max="1293" width="6.85546875" style="1629" customWidth="1"/>
    <col min="1294" max="1295" width="0" style="1629" hidden="1" customWidth="1"/>
    <col min="1296" max="1296" width="10.5703125" style="1629" customWidth="1"/>
    <col min="1297" max="1297" width="11.7109375" style="1629" customWidth="1"/>
    <col min="1298" max="1298" width="7.42578125" style="1629" customWidth="1"/>
    <col min="1299" max="1299" width="0" style="1629" hidden="1" customWidth="1"/>
    <col min="1300" max="1300" width="11.85546875" style="1629" customWidth="1"/>
    <col min="1301" max="1301" width="7.42578125" style="1629" customWidth="1"/>
    <col min="1302" max="1302" width="0" style="1629" hidden="1" customWidth="1"/>
    <col min="1303" max="1303" width="7.42578125" style="1629" customWidth="1"/>
    <col min="1304" max="1304" width="19.28515625" style="1629" customWidth="1"/>
    <col min="1305" max="1537" width="9.140625" style="1629"/>
    <col min="1538" max="1538" width="4.7109375" style="1629" customWidth="1"/>
    <col min="1539" max="1539" width="29.7109375" style="1629" customWidth="1"/>
    <col min="1540" max="1540" width="0" style="1629" hidden="1" customWidth="1"/>
    <col min="1541" max="1541" width="6" style="1629" customWidth="1"/>
    <col min="1542" max="1542" width="6.5703125" style="1629" customWidth="1"/>
    <col min="1543" max="1544" width="0" style="1629" hidden="1" customWidth="1"/>
    <col min="1545" max="1545" width="11.85546875" style="1629" customWidth="1"/>
    <col min="1546" max="1546" width="12.5703125" style="1629" customWidth="1"/>
    <col min="1547" max="1547" width="0" style="1629" hidden="1" customWidth="1"/>
    <col min="1548" max="1549" width="6.85546875" style="1629" customWidth="1"/>
    <col min="1550" max="1551" width="0" style="1629" hidden="1" customWidth="1"/>
    <col min="1552" max="1552" width="10.5703125" style="1629" customWidth="1"/>
    <col min="1553" max="1553" width="11.7109375" style="1629" customWidth="1"/>
    <col min="1554" max="1554" width="7.42578125" style="1629" customWidth="1"/>
    <col min="1555" max="1555" width="0" style="1629" hidden="1" customWidth="1"/>
    <col min="1556" max="1556" width="11.85546875" style="1629" customWidth="1"/>
    <col min="1557" max="1557" width="7.42578125" style="1629" customWidth="1"/>
    <col min="1558" max="1558" width="0" style="1629" hidden="1" customWidth="1"/>
    <col min="1559" max="1559" width="7.42578125" style="1629" customWidth="1"/>
    <col min="1560" max="1560" width="19.28515625" style="1629" customWidth="1"/>
    <col min="1561" max="1793" width="9.140625" style="1629"/>
    <col min="1794" max="1794" width="4.7109375" style="1629" customWidth="1"/>
    <col min="1795" max="1795" width="29.7109375" style="1629" customWidth="1"/>
    <col min="1796" max="1796" width="0" style="1629" hidden="1" customWidth="1"/>
    <col min="1797" max="1797" width="6" style="1629" customWidth="1"/>
    <col min="1798" max="1798" width="6.5703125" style="1629" customWidth="1"/>
    <col min="1799" max="1800" width="0" style="1629" hidden="1" customWidth="1"/>
    <col min="1801" max="1801" width="11.85546875" style="1629" customWidth="1"/>
    <col min="1802" max="1802" width="12.5703125" style="1629" customWidth="1"/>
    <col min="1803" max="1803" width="0" style="1629" hidden="1" customWidth="1"/>
    <col min="1804" max="1805" width="6.85546875" style="1629" customWidth="1"/>
    <col min="1806" max="1807" width="0" style="1629" hidden="1" customWidth="1"/>
    <col min="1808" max="1808" width="10.5703125" style="1629" customWidth="1"/>
    <col min="1809" max="1809" width="11.7109375" style="1629" customWidth="1"/>
    <col min="1810" max="1810" width="7.42578125" style="1629" customWidth="1"/>
    <col min="1811" max="1811" width="0" style="1629" hidden="1" customWidth="1"/>
    <col min="1812" max="1812" width="11.85546875" style="1629" customWidth="1"/>
    <col min="1813" max="1813" width="7.42578125" style="1629" customWidth="1"/>
    <col min="1814" max="1814" width="0" style="1629" hidden="1" customWidth="1"/>
    <col min="1815" max="1815" width="7.42578125" style="1629" customWidth="1"/>
    <col min="1816" max="1816" width="19.28515625" style="1629" customWidth="1"/>
    <col min="1817" max="2049" width="9.140625" style="1629"/>
    <col min="2050" max="2050" width="4.7109375" style="1629" customWidth="1"/>
    <col min="2051" max="2051" width="29.7109375" style="1629" customWidth="1"/>
    <col min="2052" max="2052" width="0" style="1629" hidden="1" customWidth="1"/>
    <col min="2053" max="2053" width="6" style="1629" customWidth="1"/>
    <col min="2054" max="2054" width="6.5703125" style="1629" customWidth="1"/>
    <col min="2055" max="2056" width="0" style="1629" hidden="1" customWidth="1"/>
    <col min="2057" max="2057" width="11.85546875" style="1629" customWidth="1"/>
    <col min="2058" max="2058" width="12.5703125" style="1629" customWidth="1"/>
    <col min="2059" max="2059" width="0" style="1629" hidden="1" customWidth="1"/>
    <col min="2060" max="2061" width="6.85546875" style="1629" customWidth="1"/>
    <col min="2062" max="2063" width="0" style="1629" hidden="1" customWidth="1"/>
    <col min="2064" max="2064" width="10.5703125" style="1629" customWidth="1"/>
    <col min="2065" max="2065" width="11.7109375" style="1629" customWidth="1"/>
    <col min="2066" max="2066" width="7.42578125" style="1629" customWidth="1"/>
    <col min="2067" max="2067" width="0" style="1629" hidden="1" customWidth="1"/>
    <col min="2068" max="2068" width="11.85546875" style="1629" customWidth="1"/>
    <col min="2069" max="2069" width="7.42578125" style="1629" customWidth="1"/>
    <col min="2070" max="2070" width="0" style="1629" hidden="1" customWidth="1"/>
    <col min="2071" max="2071" width="7.42578125" style="1629" customWidth="1"/>
    <col min="2072" max="2072" width="19.28515625" style="1629" customWidth="1"/>
    <col min="2073" max="2305" width="9.140625" style="1629"/>
    <col min="2306" max="2306" width="4.7109375" style="1629" customWidth="1"/>
    <col min="2307" max="2307" width="29.7109375" style="1629" customWidth="1"/>
    <col min="2308" max="2308" width="0" style="1629" hidden="1" customWidth="1"/>
    <col min="2309" max="2309" width="6" style="1629" customWidth="1"/>
    <col min="2310" max="2310" width="6.5703125" style="1629" customWidth="1"/>
    <col min="2311" max="2312" width="0" style="1629" hidden="1" customWidth="1"/>
    <col min="2313" max="2313" width="11.85546875" style="1629" customWidth="1"/>
    <col min="2314" max="2314" width="12.5703125" style="1629" customWidth="1"/>
    <col min="2315" max="2315" width="0" style="1629" hidden="1" customWidth="1"/>
    <col min="2316" max="2317" width="6.85546875" style="1629" customWidth="1"/>
    <col min="2318" max="2319" width="0" style="1629" hidden="1" customWidth="1"/>
    <col min="2320" max="2320" width="10.5703125" style="1629" customWidth="1"/>
    <col min="2321" max="2321" width="11.7109375" style="1629" customWidth="1"/>
    <col min="2322" max="2322" width="7.42578125" style="1629" customWidth="1"/>
    <col min="2323" max="2323" width="0" style="1629" hidden="1" customWidth="1"/>
    <col min="2324" max="2324" width="11.85546875" style="1629" customWidth="1"/>
    <col min="2325" max="2325" width="7.42578125" style="1629" customWidth="1"/>
    <col min="2326" max="2326" width="0" style="1629" hidden="1" customWidth="1"/>
    <col min="2327" max="2327" width="7.42578125" style="1629" customWidth="1"/>
    <col min="2328" max="2328" width="19.28515625" style="1629" customWidth="1"/>
    <col min="2329" max="2561" width="9.140625" style="1629"/>
    <col min="2562" max="2562" width="4.7109375" style="1629" customWidth="1"/>
    <col min="2563" max="2563" width="29.7109375" style="1629" customWidth="1"/>
    <col min="2564" max="2564" width="0" style="1629" hidden="1" customWidth="1"/>
    <col min="2565" max="2565" width="6" style="1629" customWidth="1"/>
    <col min="2566" max="2566" width="6.5703125" style="1629" customWidth="1"/>
    <col min="2567" max="2568" width="0" style="1629" hidden="1" customWidth="1"/>
    <col min="2569" max="2569" width="11.85546875" style="1629" customWidth="1"/>
    <col min="2570" max="2570" width="12.5703125" style="1629" customWidth="1"/>
    <col min="2571" max="2571" width="0" style="1629" hidden="1" customWidth="1"/>
    <col min="2572" max="2573" width="6.85546875" style="1629" customWidth="1"/>
    <col min="2574" max="2575" width="0" style="1629" hidden="1" customWidth="1"/>
    <col min="2576" max="2576" width="10.5703125" style="1629" customWidth="1"/>
    <col min="2577" max="2577" width="11.7109375" style="1629" customWidth="1"/>
    <col min="2578" max="2578" width="7.42578125" style="1629" customWidth="1"/>
    <col min="2579" max="2579" width="0" style="1629" hidden="1" customWidth="1"/>
    <col min="2580" max="2580" width="11.85546875" style="1629" customWidth="1"/>
    <col min="2581" max="2581" width="7.42578125" style="1629" customWidth="1"/>
    <col min="2582" max="2582" width="0" style="1629" hidden="1" customWidth="1"/>
    <col min="2583" max="2583" width="7.42578125" style="1629" customWidth="1"/>
    <col min="2584" max="2584" width="19.28515625" style="1629" customWidth="1"/>
    <col min="2585" max="2817" width="9.140625" style="1629"/>
    <col min="2818" max="2818" width="4.7109375" style="1629" customWidth="1"/>
    <col min="2819" max="2819" width="29.7109375" style="1629" customWidth="1"/>
    <col min="2820" max="2820" width="0" style="1629" hidden="1" customWidth="1"/>
    <col min="2821" max="2821" width="6" style="1629" customWidth="1"/>
    <col min="2822" max="2822" width="6.5703125" style="1629" customWidth="1"/>
    <col min="2823" max="2824" width="0" style="1629" hidden="1" customWidth="1"/>
    <col min="2825" max="2825" width="11.85546875" style="1629" customWidth="1"/>
    <col min="2826" max="2826" width="12.5703125" style="1629" customWidth="1"/>
    <col min="2827" max="2827" width="0" style="1629" hidden="1" customWidth="1"/>
    <col min="2828" max="2829" width="6.85546875" style="1629" customWidth="1"/>
    <col min="2830" max="2831" width="0" style="1629" hidden="1" customWidth="1"/>
    <col min="2832" max="2832" width="10.5703125" style="1629" customWidth="1"/>
    <col min="2833" max="2833" width="11.7109375" style="1629" customWidth="1"/>
    <col min="2834" max="2834" width="7.42578125" style="1629" customWidth="1"/>
    <col min="2835" max="2835" width="0" style="1629" hidden="1" customWidth="1"/>
    <col min="2836" max="2836" width="11.85546875" style="1629" customWidth="1"/>
    <col min="2837" max="2837" width="7.42578125" style="1629" customWidth="1"/>
    <col min="2838" max="2838" width="0" style="1629" hidden="1" customWidth="1"/>
    <col min="2839" max="2839" width="7.42578125" style="1629" customWidth="1"/>
    <col min="2840" max="2840" width="19.28515625" style="1629" customWidth="1"/>
    <col min="2841" max="3073" width="9.140625" style="1629"/>
    <col min="3074" max="3074" width="4.7109375" style="1629" customWidth="1"/>
    <col min="3075" max="3075" width="29.7109375" style="1629" customWidth="1"/>
    <col min="3076" max="3076" width="0" style="1629" hidden="1" customWidth="1"/>
    <col min="3077" max="3077" width="6" style="1629" customWidth="1"/>
    <col min="3078" max="3078" width="6.5703125" style="1629" customWidth="1"/>
    <col min="3079" max="3080" width="0" style="1629" hidden="1" customWidth="1"/>
    <col min="3081" max="3081" width="11.85546875" style="1629" customWidth="1"/>
    <col min="3082" max="3082" width="12.5703125" style="1629" customWidth="1"/>
    <col min="3083" max="3083" width="0" style="1629" hidden="1" customWidth="1"/>
    <col min="3084" max="3085" width="6.85546875" style="1629" customWidth="1"/>
    <col min="3086" max="3087" width="0" style="1629" hidden="1" customWidth="1"/>
    <col min="3088" max="3088" width="10.5703125" style="1629" customWidth="1"/>
    <col min="3089" max="3089" width="11.7109375" style="1629" customWidth="1"/>
    <col min="3090" max="3090" width="7.42578125" style="1629" customWidth="1"/>
    <col min="3091" max="3091" width="0" style="1629" hidden="1" customWidth="1"/>
    <col min="3092" max="3092" width="11.85546875" style="1629" customWidth="1"/>
    <col min="3093" max="3093" width="7.42578125" style="1629" customWidth="1"/>
    <col min="3094" max="3094" width="0" style="1629" hidden="1" customWidth="1"/>
    <col min="3095" max="3095" width="7.42578125" style="1629" customWidth="1"/>
    <col min="3096" max="3096" width="19.28515625" style="1629" customWidth="1"/>
    <col min="3097" max="3329" width="9.140625" style="1629"/>
    <col min="3330" max="3330" width="4.7109375" style="1629" customWidth="1"/>
    <col min="3331" max="3331" width="29.7109375" style="1629" customWidth="1"/>
    <col min="3332" max="3332" width="0" style="1629" hidden="1" customWidth="1"/>
    <col min="3333" max="3333" width="6" style="1629" customWidth="1"/>
    <col min="3334" max="3334" width="6.5703125" style="1629" customWidth="1"/>
    <col min="3335" max="3336" width="0" style="1629" hidden="1" customWidth="1"/>
    <col min="3337" max="3337" width="11.85546875" style="1629" customWidth="1"/>
    <col min="3338" max="3338" width="12.5703125" style="1629" customWidth="1"/>
    <col min="3339" max="3339" width="0" style="1629" hidden="1" customWidth="1"/>
    <col min="3340" max="3341" width="6.85546875" style="1629" customWidth="1"/>
    <col min="3342" max="3343" width="0" style="1629" hidden="1" customWidth="1"/>
    <col min="3344" max="3344" width="10.5703125" style="1629" customWidth="1"/>
    <col min="3345" max="3345" width="11.7109375" style="1629" customWidth="1"/>
    <col min="3346" max="3346" width="7.42578125" style="1629" customWidth="1"/>
    <col min="3347" max="3347" width="0" style="1629" hidden="1" customWidth="1"/>
    <col min="3348" max="3348" width="11.85546875" style="1629" customWidth="1"/>
    <col min="3349" max="3349" width="7.42578125" style="1629" customWidth="1"/>
    <col min="3350" max="3350" width="0" style="1629" hidden="1" customWidth="1"/>
    <col min="3351" max="3351" width="7.42578125" style="1629" customWidth="1"/>
    <col min="3352" max="3352" width="19.28515625" style="1629" customWidth="1"/>
    <col min="3353" max="3585" width="9.140625" style="1629"/>
    <col min="3586" max="3586" width="4.7109375" style="1629" customWidth="1"/>
    <col min="3587" max="3587" width="29.7109375" style="1629" customWidth="1"/>
    <col min="3588" max="3588" width="0" style="1629" hidden="1" customWidth="1"/>
    <col min="3589" max="3589" width="6" style="1629" customWidth="1"/>
    <col min="3590" max="3590" width="6.5703125" style="1629" customWidth="1"/>
    <col min="3591" max="3592" width="0" style="1629" hidden="1" customWidth="1"/>
    <col min="3593" max="3593" width="11.85546875" style="1629" customWidth="1"/>
    <col min="3594" max="3594" width="12.5703125" style="1629" customWidth="1"/>
    <col min="3595" max="3595" width="0" style="1629" hidden="1" customWidth="1"/>
    <col min="3596" max="3597" width="6.85546875" style="1629" customWidth="1"/>
    <col min="3598" max="3599" width="0" style="1629" hidden="1" customWidth="1"/>
    <col min="3600" max="3600" width="10.5703125" style="1629" customWidth="1"/>
    <col min="3601" max="3601" width="11.7109375" style="1629" customWidth="1"/>
    <col min="3602" max="3602" width="7.42578125" style="1629" customWidth="1"/>
    <col min="3603" max="3603" width="0" style="1629" hidden="1" customWidth="1"/>
    <col min="3604" max="3604" width="11.85546875" style="1629" customWidth="1"/>
    <col min="3605" max="3605" width="7.42578125" style="1629" customWidth="1"/>
    <col min="3606" max="3606" width="0" style="1629" hidden="1" customWidth="1"/>
    <col min="3607" max="3607" width="7.42578125" style="1629" customWidth="1"/>
    <col min="3608" max="3608" width="19.28515625" style="1629" customWidth="1"/>
    <col min="3609" max="3841" width="9.140625" style="1629"/>
    <col min="3842" max="3842" width="4.7109375" style="1629" customWidth="1"/>
    <col min="3843" max="3843" width="29.7109375" style="1629" customWidth="1"/>
    <col min="3844" max="3844" width="0" style="1629" hidden="1" customWidth="1"/>
    <col min="3845" max="3845" width="6" style="1629" customWidth="1"/>
    <col min="3846" max="3846" width="6.5703125" style="1629" customWidth="1"/>
    <col min="3847" max="3848" width="0" style="1629" hidden="1" customWidth="1"/>
    <col min="3849" max="3849" width="11.85546875" style="1629" customWidth="1"/>
    <col min="3850" max="3850" width="12.5703125" style="1629" customWidth="1"/>
    <col min="3851" max="3851" width="0" style="1629" hidden="1" customWidth="1"/>
    <col min="3852" max="3853" width="6.85546875" style="1629" customWidth="1"/>
    <col min="3854" max="3855" width="0" style="1629" hidden="1" customWidth="1"/>
    <col min="3856" max="3856" width="10.5703125" style="1629" customWidth="1"/>
    <col min="3857" max="3857" width="11.7109375" style="1629" customWidth="1"/>
    <col min="3858" max="3858" width="7.42578125" style="1629" customWidth="1"/>
    <col min="3859" max="3859" width="0" style="1629" hidden="1" customWidth="1"/>
    <col min="3860" max="3860" width="11.85546875" style="1629" customWidth="1"/>
    <col min="3861" max="3861" width="7.42578125" style="1629" customWidth="1"/>
    <col min="3862" max="3862" width="0" style="1629" hidden="1" customWidth="1"/>
    <col min="3863" max="3863" width="7.42578125" style="1629" customWidth="1"/>
    <col min="3864" max="3864" width="19.28515625" style="1629" customWidth="1"/>
    <col min="3865" max="4097" width="9.140625" style="1629"/>
    <col min="4098" max="4098" width="4.7109375" style="1629" customWidth="1"/>
    <col min="4099" max="4099" width="29.7109375" style="1629" customWidth="1"/>
    <col min="4100" max="4100" width="0" style="1629" hidden="1" customWidth="1"/>
    <col min="4101" max="4101" width="6" style="1629" customWidth="1"/>
    <col min="4102" max="4102" width="6.5703125" style="1629" customWidth="1"/>
    <col min="4103" max="4104" width="0" style="1629" hidden="1" customWidth="1"/>
    <col min="4105" max="4105" width="11.85546875" style="1629" customWidth="1"/>
    <col min="4106" max="4106" width="12.5703125" style="1629" customWidth="1"/>
    <col min="4107" max="4107" width="0" style="1629" hidden="1" customWidth="1"/>
    <col min="4108" max="4109" width="6.85546875" style="1629" customWidth="1"/>
    <col min="4110" max="4111" width="0" style="1629" hidden="1" customWidth="1"/>
    <col min="4112" max="4112" width="10.5703125" style="1629" customWidth="1"/>
    <col min="4113" max="4113" width="11.7109375" style="1629" customWidth="1"/>
    <col min="4114" max="4114" width="7.42578125" style="1629" customWidth="1"/>
    <col min="4115" max="4115" width="0" style="1629" hidden="1" customWidth="1"/>
    <col min="4116" max="4116" width="11.85546875" style="1629" customWidth="1"/>
    <col min="4117" max="4117" width="7.42578125" style="1629" customWidth="1"/>
    <col min="4118" max="4118" width="0" style="1629" hidden="1" customWidth="1"/>
    <col min="4119" max="4119" width="7.42578125" style="1629" customWidth="1"/>
    <col min="4120" max="4120" width="19.28515625" style="1629" customWidth="1"/>
    <col min="4121" max="4353" width="9.140625" style="1629"/>
    <col min="4354" max="4354" width="4.7109375" style="1629" customWidth="1"/>
    <col min="4355" max="4355" width="29.7109375" style="1629" customWidth="1"/>
    <col min="4356" max="4356" width="0" style="1629" hidden="1" customWidth="1"/>
    <col min="4357" max="4357" width="6" style="1629" customWidth="1"/>
    <col min="4358" max="4358" width="6.5703125" style="1629" customWidth="1"/>
    <col min="4359" max="4360" width="0" style="1629" hidden="1" customWidth="1"/>
    <col min="4361" max="4361" width="11.85546875" style="1629" customWidth="1"/>
    <col min="4362" max="4362" width="12.5703125" style="1629" customWidth="1"/>
    <col min="4363" max="4363" width="0" style="1629" hidden="1" customWidth="1"/>
    <col min="4364" max="4365" width="6.85546875" style="1629" customWidth="1"/>
    <col min="4366" max="4367" width="0" style="1629" hidden="1" customWidth="1"/>
    <col min="4368" max="4368" width="10.5703125" style="1629" customWidth="1"/>
    <col min="4369" max="4369" width="11.7109375" style="1629" customWidth="1"/>
    <col min="4370" max="4370" width="7.42578125" style="1629" customWidth="1"/>
    <col min="4371" max="4371" width="0" style="1629" hidden="1" customWidth="1"/>
    <col min="4372" max="4372" width="11.85546875" style="1629" customWidth="1"/>
    <col min="4373" max="4373" width="7.42578125" style="1629" customWidth="1"/>
    <col min="4374" max="4374" width="0" style="1629" hidden="1" customWidth="1"/>
    <col min="4375" max="4375" width="7.42578125" style="1629" customWidth="1"/>
    <col min="4376" max="4376" width="19.28515625" style="1629" customWidth="1"/>
    <col min="4377" max="4609" width="9.140625" style="1629"/>
    <col min="4610" max="4610" width="4.7109375" style="1629" customWidth="1"/>
    <col min="4611" max="4611" width="29.7109375" style="1629" customWidth="1"/>
    <col min="4612" max="4612" width="0" style="1629" hidden="1" customWidth="1"/>
    <col min="4613" max="4613" width="6" style="1629" customWidth="1"/>
    <col min="4614" max="4614" width="6.5703125" style="1629" customWidth="1"/>
    <col min="4615" max="4616" width="0" style="1629" hidden="1" customWidth="1"/>
    <col min="4617" max="4617" width="11.85546875" style="1629" customWidth="1"/>
    <col min="4618" max="4618" width="12.5703125" style="1629" customWidth="1"/>
    <col min="4619" max="4619" width="0" style="1629" hidden="1" customWidth="1"/>
    <col min="4620" max="4621" width="6.85546875" style="1629" customWidth="1"/>
    <col min="4622" max="4623" width="0" style="1629" hidden="1" customWidth="1"/>
    <col min="4624" max="4624" width="10.5703125" style="1629" customWidth="1"/>
    <col min="4625" max="4625" width="11.7109375" style="1629" customWidth="1"/>
    <col min="4626" max="4626" width="7.42578125" style="1629" customWidth="1"/>
    <col min="4627" max="4627" width="0" style="1629" hidden="1" customWidth="1"/>
    <col min="4628" max="4628" width="11.85546875" style="1629" customWidth="1"/>
    <col min="4629" max="4629" width="7.42578125" style="1629" customWidth="1"/>
    <col min="4630" max="4630" width="0" style="1629" hidden="1" customWidth="1"/>
    <col min="4631" max="4631" width="7.42578125" style="1629" customWidth="1"/>
    <col min="4632" max="4632" width="19.28515625" style="1629" customWidth="1"/>
    <col min="4633" max="4865" width="9.140625" style="1629"/>
    <col min="4866" max="4866" width="4.7109375" style="1629" customWidth="1"/>
    <col min="4867" max="4867" width="29.7109375" style="1629" customWidth="1"/>
    <col min="4868" max="4868" width="0" style="1629" hidden="1" customWidth="1"/>
    <col min="4869" max="4869" width="6" style="1629" customWidth="1"/>
    <col min="4870" max="4870" width="6.5703125" style="1629" customWidth="1"/>
    <col min="4871" max="4872" width="0" style="1629" hidden="1" customWidth="1"/>
    <col min="4873" max="4873" width="11.85546875" style="1629" customWidth="1"/>
    <col min="4874" max="4874" width="12.5703125" style="1629" customWidth="1"/>
    <col min="4875" max="4875" width="0" style="1629" hidden="1" customWidth="1"/>
    <col min="4876" max="4877" width="6.85546875" style="1629" customWidth="1"/>
    <col min="4878" max="4879" width="0" style="1629" hidden="1" customWidth="1"/>
    <col min="4880" max="4880" width="10.5703125" style="1629" customWidth="1"/>
    <col min="4881" max="4881" width="11.7109375" style="1629" customWidth="1"/>
    <col min="4882" max="4882" width="7.42578125" style="1629" customWidth="1"/>
    <col min="4883" max="4883" width="0" style="1629" hidden="1" customWidth="1"/>
    <col min="4884" max="4884" width="11.85546875" style="1629" customWidth="1"/>
    <col min="4885" max="4885" width="7.42578125" style="1629" customWidth="1"/>
    <col min="4886" max="4886" width="0" style="1629" hidden="1" customWidth="1"/>
    <col min="4887" max="4887" width="7.42578125" style="1629" customWidth="1"/>
    <col min="4888" max="4888" width="19.28515625" style="1629" customWidth="1"/>
    <col min="4889" max="5121" width="9.140625" style="1629"/>
    <col min="5122" max="5122" width="4.7109375" style="1629" customWidth="1"/>
    <col min="5123" max="5123" width="29.7109375" style="1629" customWidth="1"/>
    <col min="5124" max="5124" width="0" style="1629" hidden="1" customWidth="1"/>
    <col min="5125" max="5125" width="6" style="1629" customWidth="1"/>
    <col min="5126" max="5126" width="6.5703125" style="1629" customWidth="1"/>
    <col min="5127" max="5128" width="0" style="1629" hidden="1" customWidth="1"/>
    <col min="5129" max="5129" width="11.85546875" style="1629" customWidth="1"/>
    <col min="5130" max="5130" width="12.5703125" style="1629" customWidth="1"/>
    <col min="5131" max="5131" width="0" style="1629" hidden="1" customWidth="1"/>
    <col min="5132" max="5133" width="6.85546875" style="1629" customWidth="1"/>
    <col min="5134" max="5135" width="0" style="1629" hidden="1" customWidth="1"/>
    <col min="5136" max="5136" width="10.5703125" style="1629" customWidth="1"/>
    <col min="5137" max="5137" width="11.7109375" style="1629" customWidth="1"/>
    <col min="5138" max="5138" width="7.42578125" style="1629" customWidth="1"/>
    <col min="5139" max="5139" width="0" style="1629" hidden="1" customWidth="1"/>
    <col min="5140" max="5140" width="11.85546875" style="1629" customWidth="1"/>
    <col min="5141" max="5141" width="7.42578125" style="1629" customWidth="1"/>
    <col min="5142" max="5142" width="0" style="1629" hidden="1" customWidth="1"/>
    <col min="5143" max="5143" width="7.42578125" style="1629" customWidth="1"/>
    <col min="5144" max="5144" width="19.28515625" style="1629" customWidth="1"/>
    <col min="5145" max="5377" width="9.140625" style="1629"/>
    <col min="5378" max="5378" width="4.7109375" style="1629" customWidth="1"/>
    <col min="5379" max="5379" width="29.7109375" style="1629" customWidth="1"/>
    <col min="5380" max="5380" width="0" style="1629" hidden="1" customWidth="1"/>
    <col min="5381" max="5381" width="6" style="1629" customWidth="1"/>
    <col min="5382" max="5382" width="6.5703125" style="1629" customWidth="1"/>
    <col min="5383" max="5384" width="0" style="1629" hidden="1" customWidth="1"/>
    <col min="5385" max="5385" width="11.85546875" style="1629" customWidth="1"/>
    <col min="5386" max="5386" width="12.5703125" style="1629" customWidth="1"/>
    <col min="5387" max="5387" width="0" style="1629" hidden="1" customWidth="1"/>
    <col min="5388" max="5389" width="6.85546875" style="1629" customWidth="1"/>
    <col min="5390" max="5391" width="0" style="1629" hidden="1" customWidth="1"/>
    <col min="5392" max="5392" width="10.5703125" style="1629" customWidth="1"/>
    <col min="5393" max="5393" width="11.7109375" style="1629" customWidth="1"/>
    <col min="5394" max="5394" width="7.42578125" style="1629" customWidth="1"/>
    <col min="5395" max="5395" width="0" style="1629" hidden="1" customWidth="1"/>
    <col min="5396" max="5396" width="11.85546875" style="1629" customWidth="1"/>
    <col min="5397" max="5397" width="7.42578125" style="1629" customWidth="1"/>
    <col min="5398" max="5398" width="0" style="1629" hidden="1" customWidth="1"/>
    <col min="5399" max="5399" width="7.42578125" style="1629" customWidth="1"/>
    <col min="5400" max="5400" width="19.28515625" style="1629" customWidth="1"/>
    <col min="5401" max="5633" width="9.140625" style="1629"/>
    <col min="5634" max="5634" width="4.7109375" style="1629" customWidth="1"/>
    <col min="5635" max="5635" width="29.7109375" style="1629" customWidth="1"/>
    <col min="5636" max="5636" width="0" style="1629" hidden="1" customWidth="1"/>
    <col min="5637" max="5637" width="6" style="1629" customWidth="1"/>
    <col min="5638" max="5638" width="6.5703125" style="1629" customWidth="1"/>
    <col min="5639" max="5640" width="0" style="1629" hidden="1" customWidth="1"/>
    <col min="5641" max="5641" width="11.85546875" style="1629" customWidth="1"/>
    <col min="5642" max="5642" width="12.5703125" style="1629" customWidth="1"/>
    <col min="5643" max="5643" width="0" style="1629" hidden="1" customWidth="1"/>
    <col min="5644" max="5645" width="6.85546875" style="1629" customWidth="1"/>
    <col min="5646" max="5647" width="0" style="1629" hidden="1" customWidth="1"/>
    <col min="5648" max="5648" width="10.5703125" style="1629" customWidth="1"/>
    <col min="5649" max="5649" width="11.7109375" style="1629" customWidth="1"/>
    <col min="5650" max="5650" width="7.42578125" style="1629" customWidth="1"/>
    <col min="5651" max="5651" width="0" style="1629" hidden="1" customWidth="1"/>
    <col min="5652" max="5652" width="11.85546875" style="1629" customWidth="1"/>
    <col min="5653" max="5653" width="7.42578125" style="1629" customWidth="1"/>
    <col min="5654" max="5654" width="0" style="1629" hidden="1" customWidth="1"/>
    <col min="5655" max="5655" width="7.42578125" style="1629" customWidth="1"/>
    <col min="5656" max="5656" width="19.28515625" style="1629" customWidth="1"/>
    <col min="5657" max="5889" width="9.140625" style="1629"/>
    <col min="5890" max="5890" width="4.7109375" style="1629" customWidth="1"/>
    <col min="5891" max="5891" width="29.7109375" style="1629" customWidth="1"/>
    <col min="5892" max="5892" width="0" style="1629" hidden="1" customWidth="1"/>
    <col min="5893" max="5893" width="6" style="1629" customWidth="1"/>
    <col min="5894" max="5894" width="6.5703125" style="1629" customWidth="1"/>
    <col min="5895" max="5896" width="0" style="1629" hidden="1" customWidth="1"/>
    <col min="5897" max="5897" width="11.85546875" style="1629" customWidth="1"/>
    <col min="5898" max="5898" width="12.5703125" style="1629" customWidth="1"/>
    <col min="5899" max="5899" width="0" style="1629" hidden="1" customWidth="1"/>
    <col min="5900" max="5901" width="6.85546875" style="1629" customWidth="1"/>
    <col min="5902" max="5903" width="0" style="1629" hidden="1" customWidth="1"/>
    <col min="5904" max="5904" width="10.5703125" style="1629" customWidth="1"/>
    <col min="5905" max="5905" width="11.7109375" style="1629" customWidth="1"/>
    <col min="5906" max="5906" width="7.42578125" style="1629" customWidth="1"/>
    <col min="5907" max="5907" width="0" style="1629" hidden="1" customWidth="1"/>
    <col min="5908" max="5908" width="11.85546875" style="1629" customWidth="1"/>
    <col min="5909" max="5909" width="7.42578125" style="1629" customWidth="1"/>
    <col min="5910" max="5910" width="0" style="1629" hidden="1" customWidth="1"/>
    <col min="5911" max="5911" width="7.42578125" style="1629" customWidth="1"/>
    <col min="5912" max="5912" width="19.28515625" style="1629" customWidth="1"/>
    <col min="5913" max="6145" width="9.140625" style="1629"/>
    <col min="6146" max="6146" width="4.7109375" style="1629" customWidth="1"/>
    <col min="6147" max="6147" width="29.7109375" style="1629" customWidth="1"/>
    <col min="6148" max="6148" width="0" style="1629" hidden="1" customWidth="1"/>
    <col min="6149" max="6149" width="6" style="1629" customWidth="1"/>
    <col min="6150" max="6150" width="6.5703125" style="1629" customWidth="1"/>
    <col min="6151" max="6152" width="0" style="1629" hidden="1" customWidth="1"/>
    <col min="6153" max="6153" width="11.85546875" style="1629" customWidth="1"/>
    <col min="6154" max="6154" width="12.5703125" style="1629" customWidth="1"/>
    <col min="6155" max="6155" width="0" style="1629" hidden="1" customWidth="1"/>
    <col min="6156" max="6157" width="6.85546875" style="1629" customWidth="1"/>
    <col min="6158" max="6159" width="0" style="1629" hidden="1" customWidth="1"/>
    <col min="6160" max="6160" width="10.5703125" style="1629" customWidth="1"/>
    <col min="6161" max="6161" width="11.7109375" style="1629" customWidth="1"/>
    <col min="6162" max="6162" width="7.42578125" style="1629" customWidth="1"/>
    <col min="6163" max="6163" width="0" style="1629" hidden="1" customWidth="1"/>
    <col min="6164" max="6164" width="11.85546875" style="1629" customWidth="1"/>
    <col min="6165" max="6165" width="7.42578125" style="1629" customWidth="1"/>
    <col min="6166" max="6166" width="0" style="1629" hidden="1" customWidth="1"/>
    <col min="6167" max="6167" width="7.42578125" style="1629" customWidth="1"/>
    <col min="6168" max="6168" width="19.28515625" style="1629" customWidth="1"/>
    <col min="6169" max="6401" width="9.140625" style="1629"/>
    <col min="6402" max="6402" width="4.7109375" style="1629" customWidth="1"/>
    <col min="6403" max="6403" width="29.7109375" style="1629" customWidth="1"/>
    <col min="6404" max="6404" width="0" style="1629" hidden="1" customWidth="1"/>
    <col min="6405" max="6405" width="6" style="1629" customWidth="1"/>
    <col min="6406" max="6406" width="6.5703125" style="1629" customWidth="1"/>
    <col min="6407" max="6408" width="0" style="1629" hidden="1" customWidth="1"/>
    <col min="6409" max="6409" width="11.85546875" style="1629" customWidth="1"/>
    <col min="6410" max="6410" width="12.5703125" style="1629" customWidth="1"/>
    <col min="6411" max="6411" width="0" style="1629" hidden="1" customWidth="1"/>
    <col min="6412" max="6413" width="6.85546875" style="1629" customWidth="1"/>
    <col min="6414" max="6415" width="0" style="1629" hidden="1" customWidth="1"/>
    <col min="6416" max="6416" width="10.5703125" style="1629" customWidth="1"/>
    <col min="6417" max="6417" width="11.7109375" style="1629" customWidth="1"/>
    <col min="6418" max="6418" width="7.42578125" style="1629" customWidth="1"/>
    <col min="6419" max="6419" width="0" style="1629" hidden="1" customWidth="1"/>
    <col min="6420" max="6420" width="11.85546875" style="1629" customWidth="1"/>
    <col min="6421" max="6421" width="7.42578125" style="1629" customWidth="1"/>
    <col min="6422" max="6422" width="0" style="1629" hidden="1" customWidth="1"/>
    <col min="6423" max="6423" width="7.42578125" style="1629" customWidth="1"/>
    <col min="6424" max="6424" width="19.28515625" style="1629" customWidth="1"/>
    <col min="6425" max="6657" width="9.140625" style="1629"/>
    <col min="6658" max="6658" width="4.7109375" style="1629" customWidth="1"/>
    <col min="6659" max="6659" width="29.7109375" style="1629" customWidth="1"/>
    <col min="6660" max="6660" width="0" style="1629" hidden="1" customWidth="1"/>
    <col min="6661" max="6661" width="6" style="1629" customWidth="1"/>
    <col min="6662" max="6662" width="6.5703125" style="1629" customWidth="1"/>
    <col min="6663" max="6664" width="0" style="1629" hidden="1" customWidth="1"/>
    <col min="6665" max="6665" width="11.85546875" style="1629" customWidth="1"/>
    <col min="6666" max="6666" width="12.5703125" style="1629" customWidth="1"/>
    <col min="6667" max="6667" width="0" style="1629" hidden="1" customWidth="1"/>
    <col min="6668" max="6669" width="6.85546875" style="1629" customWidth="1"/>
    <col min="6670" max="6671" width="0" style="1629" hidden="1" customWidth="1"/>
    <col min="6672" max="6672" width="10.5703125" style="1629" customWidth="1"/>
    <col min="6673" max="6673" width="11.7109375" style="1629" customWidth="1"/>
    <col min="6674" max="6674" width="7.42578125" style="1629" customWidth="1"/>
    <col min="6675" max="6675" width="0" style="1629" hidden="1" customWidth="1"/>
    <col min="6676" max="6676" width="11.85546875" style="1629" customWidth="1"/>
    <col min="6677" max="6677" width="7.42578125" style="1629" customWidth="1"/>
    <col min="6678" max="6678" width="0" style="1629" hidden="1" customWidth="1"/>
    <col min="6679" max="6679" width="7.42578125" style="1629" customWidth="1"/>
    <col min="6680" max="6680" width="19.28515625" style="1629" customWidth="1"/>
    <col min="6681" max="6913" width="9.140625" style="1629"/>
    <col min="6914" max="6914" width="4.7109375" style="1629" customWidth="1"/>
    <col min="6915" max="6915" width="29.7109375" style="1629" customWidth="1"/>
    <col min="6916" max="6916" width="0" style="1629" hidden="1" customWidth="1"/>
    <col min="6917" max="6917" width="6" style="1629" customWidth="1"/>
    <col min="6918" max="6918" width="6.5703125" style="1629" customWidth="1"/>
    <col min="6919" max="6920" width="0" style="1629" hidden="1" customWidth="1"/>
    <col min="6921" max="6921" width="11.85546875" style="1629" customWidth="1"/>
    <col min="6922" max="6922" width="12.5703125" style="1629" customWidth="1"/>
    <col min="6923" max="6923" width="0" style="1629" hidden="1" customWidth="1"/>
    <col min="6924" max="6925" width="6.85546875" style="1629" customWidth="1"/>
    <col min="6926" max="6927" width="0" style="1629" hidden="1" customWidth="1"/>
    <col min="6928" max="6928" width="10.5703125" style="1629" customWidth="1"/>
    <col min="6929" max="6929" width="11.7109375" style="1629" customWidth="1"/>
    <col min="6930" max="6930" width="7.42578125" style="1629" customWidth="1"/>
    <col min="6931" max="6931" width="0" style="1629" hidden="1" customWidth="1"/>
    <col min="6932" max="6932" width="11.85546875" style="1629" customWidth="1"/>
    <col min="6933" max="6933" width="7.42578125" style="1629" customWidth="1"/>
    <col min="6934" max="6934" width="0" style="1629" hidden="1" customWidth="1"/>
    <col min="6935" max="6935" width="7.42578125" style="1629" customWidth="1"/>
    <col min="6936" max="6936" width="19.28515625" style="1629" customWidth="1"/>
    <col min="6937" max="7169" width="9.140625" style="1629"/>
    <col min="7170" max="7170" width="4.7109375" style="1629" customWidth="1"/>
    <col min="7171" max="7171" width="29.7109375" style="1629" customWidth="1"/>
    <col min="7172" max="7172" width="0" style="1629" hidden="1" customWidth="1"/>
    <col min="7173" max="7173" width="6" style="1629" customWidth="1"/>
    <col min="7174" max="7174" width="6.5703125" style="1629" customWidth="1"/>
    <col min="7175" max="7176" width="0" style="1629" hidden="1" customWidth="1"/>
    <col min="7177" max="7177" width="11.85546875" style="1629" customWidth="1"/>
    <col min="7178" max="7178" width="12.5703125" style="1629" customWidth="1"/>
    <col min="7179" max="7179" width="0" style="1629" hidden="1" customWidth="1"/>
    <col min="7180" max="7181" width="6.85546875" style="1629" customWidth="1"/>
    <col min="7182" max="7183" width="0" style="1629" hidden="1" customWidth="1"/>
    <col min="7184" max="7184" width="10.5703125" style="1629" customWidth="1"/>
    <col min="7185" max="7185" width="11.7109375" style="1629" customWidth="1"/>
    <col min="7186" max="7186" width="7.42578125" style="1629" customWidth="1"/>
    <col min="7187" max="7187" width="0" style="1629" hidden="1" customWidth="1"/>
    <col min="7188" max="7188" width="11.85546875" style="1629" customWidth="1"/>
    <col min="7189" max="7189" width="7.42578125" style="1629" customWidth="1"/>
    <col min="7190" max="7190" width="0" style="1629" hidden="1" customWidth="1"/>
    <col min="7191" max="7191" width="7.42578125" style="1629" customWidth="1"/>
    <col min="7192" max="7192" width="19.28515625" style="1629" customWidth="1"/>
    <col min="7193" max="7425" width="9.140625" style="1629"/>
    <col min="7426" max="7426" width="4.7109375" style="1629" customWidth="1"/>
    <col min="7427" max="7427" width="29.7109375" style="1629" customWidth="1"/>
    <col min="7428" max="7428" width="0" style="1629" hidden="1" customWidth="1"/>
    <col min="7429" max="7429" width="6" style="1629" customWidth="1"/>
    <col min="7430" max="7430" width="6.5703125" style="1629" customWidth="1"/>
    <col min="7431" max="7432" width="0" style="1629" hidden="1" customWidth="1"/>
    <col min="7433" max="7433" width="11.85546875" style="1629" customWidth="1"/>
    <col min="7434" max="7434" width="12.5703125" style="1629" customWidth="1"/>
    <col min="7435" max="7435" width="0" style="1629" hidden="1" customWidth="1"/>
    <col min="7436" max="7437" width="6.85546875" style="1629" customWidth="1"/>
    <col min="7438" max="7439" width="0" style="1629" hidden="1" customWidth="1"/>
    <col min="7440" max="7440" width="10.5703125" style="1629" customWidth="1"/>
    <col min="7441" max="7441" width="11.7109375" style="1629" customWidth="1"/>
    <col min="7442" max="7442" width="7.42578125" style="1629" customWidth="1"/>
    <col min="7443" max="7443" width="0" style="1629" hidden="1" customWidth="1"/>
    <col min="7444" max="7444" width="11.85546875" style="1629" customWidth="1"/>
    <col min="7445" max="7445" width="7.42578125" style="1629" customWidth="1"/>
    <col min="7446" max="7446" width="0" style="1629" hidden="1" customWidth="1"/>
    <col min="7447" max="7447" width="7.42578125" style="1629" customWidth="1"/>
    <col min="7448" max="7448" width="19.28515625" style="1629" customWidth="1"/>
    <col min="7449" max="7681" width="9.140625" style="1629"/>
    <col min="7682" max="7682" width="4.7109375" style="1629" customWidth="1"/>
    <col min="7683" max="7683" width="29.7109375" style="1629" customWidth="1"/>
    <col min="7684" max="7684" width="0" style="1629" hidden="1" customWidth="1"/>
    <col min="7685" max="7685" width="6" style="1629" customWidth="1"/>
    <col min="7686" max="7686" width="6.5703125" style="1629" customWidth="1"/>
    <col min="7687" max="7688" width="0" style="1629" hidden="1" customWidth="1"/>
    <col min="7689" max="7689" width="11.85546875" style="1629" customWidth="1"/>
    <col min="7690" max="7690" width="12.5703125" style="1629" customWidth="1"/>
    <col min="7691" max="7691" width="0" style="1629" hidden="1" customWidth="1"/>
    <col min="7692" max="7693" width="6.85546875" style="1629" customWidth="1"/>
    <col min="7694" max="7695" width="0" style="1629" hidden="1" customWidth="1"/>
    <col min="7696" max="7696" width="10.5703125" style="1629" customWidth="1"/>
    <col min="7697" max="7697" width="11.7109375" style="1629" customWidth="1"/>
    <col min="7698" max="7698" width="7.42578125" style="1629" customWidth="1"/>
    <col min="7699" max="7699" width="0" style="1629" hidden="1" customWidth="1"/>
    <col min="7700" max="7700" width="11.85546875" style="1629" customWidth="1"/>
    <col min="7701" max="7701" width="7.42578125" style="1629" customWidth="1"/>
    <col min="7702" max="7702" width="0" style="1629" hidden="1" customWidth="1"/>
    <col min="7703" max="7703" width="7.42578125" style="1629" customWidth="1"/>
    <col min="7704" max="7704" width="19.28515625" style="1629" customWidth="1"/>
    <col min="7705" max="7937" width="9.140625" style="1629"/>
    <col min="7938" max="7938" width="4.7109375" style="1629" customWidth="1"/>
    <col min="7939" max="7939" width="29.7109375" style="1629" customWidth="1"/>
    <col min="7940" max="7940" width="0" style="1629" hidden="1" customWidth="1"/>
    <col min="7941" max="7941" width="6" style="1629" customWidth="1"/>
    <col min="7942" max="7942" width="6.5703125" style="1629" customWidth="1"/>
    <col min="7943" max="7944" width="0" style="1629" hidden="1" customWidth="1"/>
    <col min="7945" max="7945" width="11.85546875" style="1629" customWidth="1"/>
    <col min="7946" max="7946" width="12.5703125" style="1629" customWidth="1"/>
    <col min="7947" max="7947" width="0" style="1629" hidden="1" customWidth="1"/>
    <col min="7948" max="7949" width="6.85546875" style="1629" customWidth="1"/>
    <col min="7950" max="7951" width="0" style="1629" hidden="1" customWidth="1"/>
    <col min="7952" max="7952" width="10.5703125" style="1629" customWidth="1"/>
    <col min="7953" max="7953" width="11.7109375" style="1629" customWidth="1"/>
    <col min="7954" max="7954" width="7.42578125" style="1629" customWidth="1"/>
    <col min="7955" max="7955" width="0" style="1629" hidden="1" customWidth="1"/>
    <col min="7956" max="7956" width="11.85546875" style="1629" customWidth="1"/>
    <col min="7957" max="7957" width="7.42578125" style="1629" customWidth="1"/>
    <col min="7958" max="7958" width="0" style="1629" hidden="1" customWidth="1"/>
    <col min="7959" max="7959" width="7.42578125" style="1629" customWidth="1"/>
    <col min="7960" max="7960" width="19.28515625" style="1629" customWidth="1"/>
    <col min="7961" max="8193" width="9.140625" style="1629"/>
    <col min="8194" max="8194" width="4.7109375" style="1629" customWidth="1"/>
    <col min="8195" max="8195" width="29.7109375" style="1629" customWidth="1"/>
    <col min="8196" max="8196" width="0" style="1629" hidden="1" customWidth="1"/>
    <col min="8197" max="8197" width="6" style="1629" customWidth="1"/>
    <col min="8198" max="8198" width="6.5703125" style="1629" customWidth="1"/>
    <col min="8199" max="8200" width="0" style="1629" hidden="1" customWidth="1"/>
    <col min="8201" max="8201" width="11.85546875" style="1629" customWidth="1"/>
    <col min="8202" max="8202" width="12.5703125" style="1629" customWidth="1"/>
    <col min="8203" max="8203" width="0" style="1629" hidden="1" customWidth="1"/>
    <col min="8204" max="8205" width="6.85546875" style="1629" customWidth="1"/>
    <col min="8206" max="8207" width="0" style="1629" hidden="1" customWidth="1"/>
    <col min="8208" max="8208" width="10.5703125" style="1629" customWidth="1"/>
    <col min="8209" max="8209" width="11.7109375" style="1629" customWidth="1"/>
    <col min="8210" max="8210" width="7.42578125" style="1629" customWidth="1"/>
    <col min="8211" max="8211" width="0" style="1629" hidden="1" customWidth="1"/>
    <col min="8212" max="8212" width="11.85546875" style="1629" customWidth="1"/>
    <col min="8213" max="8213" width="7.42578125" style="1629" customWidth="1"/>
    <col min="8214" max="8214" width="0" style="1629" hidden="1" customWidth="1"/>
    <col min="8215" max="8215" width="7.42578125" style="1629" customWidth="1"/>
    <col min="8216" max="8216" width="19.28515625" style="1629" customWidth="1"/>
    <col min="8217" max="8449" width="9.140625" style="1629"/>
    <col min="8450" max="8450" width="4.7109375" style="1629" customWidth="1"/>
    <col min="8451" max="8451" width="29.7109375" style="1629" customWidth="1"/>
    <col min="8452" max="8452" width="0" style="1629" hidden="1" customWidth="1"/>
    <col min="8453" max="8453" width="6" style="1629" customWidth="1"/>
    <col min="8454" max="8454" width="6.5703125" style="1629" customWidth="1"/>
    <col min="8455" max="8456" width="0" style="1629" hidden="1" customWidth="1"/>
    <col min="8457" max="8457" width="11.85546875" style="1629" customWidth="1"/>
    <col min="8458" max="8458" width="12.5703125" style="1629" customWidth="1"/>
    <col min="8459" max="8459" width="0" style="1629" hidden="1" customWidth="1"/>
    <col min="8460" max="8461" width="6.85546875" style="1629" customWidth="1"/>
    <col min="8462" max="8463" width="0" style="1629" hidden="1" customWidth="1"/>
    <col min="8464" max="8464" width="10.5703125" style="1629" customWidth="1"/>
    <col min="8465" max="8465" width="11.7109375" style="1629" customWidth="1"/>
    <col min="8466" max="8466" width="7.42578125" style="1629" customWidth="1"/>
    <col min="8467" max="8467" width="0" style="1629" hidden="1" customWidth="1"/>
    <col min="8468" max="8468" width="11.85546875" style="1629" customWidth="1"/>
    <col min="8469" max="8469" width="7.42578125" style="1629" customWidth="1"/>
    <col min="8470" max="8470" width="0" style="1629" hidden="1" customWidth="1"/>
    <col min="8471" max="8471" width="7.42578125" style="1629" customWidth="1"/>
    <col min="8472" max="8472" width="19.28515625" style="1629" customWidth="1"/>
    <col min="8473" max="8705" width="9.140625" style="1629"/>
    <col min="8706" max="8706" width="4.7109375" style="1629" customWidth="1"/>
    <col min="8707" max="8707" width="29.7109375" style="1629" customWidth="1"/>
    <col min="8708" max="8708" width="0" style="1629" hidden="1" customWidth="1"/>
    <col min="8709" max="8709" width="6" style="1629" customWidth="1"/>
    <col min="8710" max="8710" width="6.5703125" style="1629" customWidth="1"/>
    <col min="8711" max="8712" width="0" style="1629" hidden="1" customWidth="1"/>
    <col min="8713" max="8713" width="11.85546875" style="1629" customWidth="1"/>
    <col min="8714" max="8714" width="12.5703125" style="1629" customWidth="1"/>
    <col min="8715" max="8715" width="0" style="1629" hidden="1" customWidth="1"/>
    <col min="8716" max="8717" width="6.85546875" style="1629" customWidth="1"/>
    <col min="8718" max="8719" width="0" style="1629" hidden="1" customWidth="1"/>
    <col min="8720" max="8720" width="10.5703125" style="1629" customWidth="1"/>
    <col min="8721" max="8721" width="11.7109375" style="1629" customWidth="1"/>
    <col min="8722" max="8722" width="7.42578125" style="1629" customWidth="1"/>
    <col min="8723" max="8723" width="0" style="1629" hidden="1" customWidth="1"/>
    <col min="8724" max="8724" width="11.85546875" style="1629" customWidth="1"/>
    <col min="8725" max="8725" width="7.42578125" style="1629" customWidth="1"/>
    <col min="8726" max="8726" width="0" style="1629" hidden="1" customWidth="1"/>
    <col min="8727" max="8727" width="7.42578125" style="1629" customWidth="1"/>
    <col min="8728" max="8728" width="19.28515625" style="1629" customWidth="1"/>
    <col min="8729" max="8961" width="9.140625" style="1629"/>
    <col min="8962" max="8962" width="4.7109375" style="1629" customWidth="1"/>
    <col min="8963" max="8963" width="29.7109375" style="1629" customWidth="1"/>
    <col min="8964" max="8964" width="0" style="1629" hidden="1" customWidth="1"/>
    <col min="8965" max="8965" width="6" style="1629" customWidth="1"/>
    <col min="8966" max="8966" width="6.5703125" style="1629" customWidth="1"/>
    <col min="8967" max="8968" width="0" style="1629" hidden="1" customWidth="1"/>
    <col min="8969" max="8969" width="11.85546875" style="1629" customWidth="1"/>
    <col min="8970" max="8970" width="12.5703125" style="1629" customWidth="1"/>
    <col min="8971" max="8971" width="0" style="1629" hidden="1" customWidth="1"/>
    <col min="8972" max="8973" width="6.85546875" style="1629" customWidth="1"/>
    <col min="8974" max="8975" width="0" style="1629" hidden="1" customWidth="1"/>
    <col min="8976" max="8976" width="10.5703125" style="1629" customWidth="1"/>
    <col min="8977" max="8977" width="11.7109375" style="1629" customWidth="1"/>
    <col min="8978" max="8978" width="7.42578125" style="1629" customWidth="1"/>
    <col min="8979" max="8979" width="0" style="1629" hidden="1" customWidth="1"/>
    <col min="8980" max="8980" width="11.85546875" style="1629" customWidth="1"/>
    <col min="8981" max="8981" width="7.42578125" style="1629" customWidth="1"/>
    <col min="8982" max="8982" width="0" style="1629" hidden="1" customWidth="1"/>
    <col min="8983" max="8983" width="7.42578125" style="1629" customWidth="1"/>
    <col min="8984" max="8984" width="19.28515625" style="1629" customWidth="1"/>
    <col min="8985" max="9217" width="9.140625" style="1629"/>
    <col min="9218" max="9218" width="4.7109375" style="1629" customWidth="1"/>
    <col min="9219" max="9219" width="29.7109375" style="1629" customWidth="1"/>
    <col min="9220" max="9220" width="0" style="1629" hidden="1" customWidth="1"/>
    <col min="9221" max="9221" width="6" style="1629" customWidth="1"/>
    <col min="9222" max="9222" width="6.5703125" style="1629" customWidth="1"/>
    <col min="9223" max="9224" width="0" style="1629" hidden="1" customWidth="1"/>
    <col min="9225" max="9225" width="11.85546875" style="1629" customWidth="1"/>
    <col min="9226" max="9226" width="12.5703125" style="1629" customWidth="1"/>
    <col min="9227" max="9227" width="0" style="1629" hidden="1" customWidth="1"/>
    <col min="9228" max="9229" width="6.85546875" style="1629" customWidth="1"/>
    <col min="9230" max="9231" width="0" style="1629" hidden="1" customWidth="1"/>
    <col min="9232" max="9232" width="10.5703125" style="1629" customWidth="1"/>
    <col min="9233" max="9233" width="11.7109375" style="1629" customWidth="1"/>
    <col min="9234" max="9234" width="7.42578125" style="1629" customWidth="1"/>
    <col min="9235" max="9235" width="0" style="1629" hidden="1" customWidth="1"/>
    <col min="9236" max="9236" width="11.85546875" style="1629" customWidth="1"/>
    <col min="9237" max="9237" width="7.42578125" style="1629" customWidth="1"/>
    <col min="9238" max="9238" width="0" style="1629" hidden="1" customWidth="1"/>
    <col min="9239" max="9239" width="7.42578125" style="1629" customWidth="1"/>
    <col min="9240" max="9240" width="19.28515625" style="1629" customWidth="1"/>
    <col min="9241" max="9473" width="9.140625" style="1629"/>
    <col min="9474" max="9474" width="4.7109375" style="1629" customWidth="1"/>
    <col min="9475" max="9475" width="29.7109375" style="1629" customWidth="1"/>
    <col min="9476" max="9476" width="0" style="1629" hidden="1" customWidth="1"/>
    <col min="9477" max="9477" width="6" style="1629" customWidth="1"/>
    <col min="9478" max="9478" width="6.5703125" style="1629" customWidth="1"/>
    <col min="9479" max="9480" width="0" style="1629" hidden="1" customWidth="1"/>
    <col min="9481" max="9481" width="11.85546875" style="1629" customWidth="1"/>
    <col min="9482" max="9482" width="12.5703125" style="1629" customWidth="1"/>
    <col min="9483" max="9483" width="0" style="1629" hidden="1" customWidth="1"/>
    <col min="9484" max="9485" width="6.85546875" style="1629" customWidth="1"/>
    <col min="9486" max="9487" width="0" style="1629" hidden="1" customWidth="1"/>
    <col min="9488" max="9488" width="10.5703125" style="1629" customWidth="1"/>
    <col min="9489" max="9489" width="11.7109375" style="1629" customWidth="1"/>
    <col min="9490" max="9490" width="7.42578125" style="1629" customWidth="1"/>
    <col min="9491" max="9491" width="0" style="1629" hidden="1" customWidth="1"/>
    <col min="9492" max="9492" width="11.85546875" style="1629" customWidth="1"/>
    <col min="9493" max="9493" width="7.42578125" style="1629" customWidth="1"/>
    <col min="9494" max="9494" width="0" style="1629" hidden="1" customWidth="1"/>
    <col min="9495" max="9495" width="7.42578125" style="1629" customWidth="1"/>
    <col min="9496" max="9496" width="19.28515625" style="1629" customWidth="1"/>
    <col min="9497" max="9729" width="9.140625" style="1629"/>
    <col min="9730" max="9730" width="4.7109375" style="1629" customWidth="1"/>
    <col min="9731" max="9731" width="29.7109375" style="1629" customWidth="1"/>
    <col min="9732" max="9732" width="0" style="1629" hidden="1" customWidth="1"/>
    <col min="9733" max="9733" width="6" style="1629" customWidth="1"/>
    <col min="9734" max="9734" width="6.5703125" style="1629" customWidth="1"/>
    <col min="9735" max="9736" width="0" style="1629" hidden="1" customWidth="1"/>
    <col min="9737" max="9737" width="11.85546875" style="1629" customWidth="1"/>
    <col min="9738" max="9738" width="12.5703125" style="1629" customWidth="1"/>
    <col min="9739" max="9739" width="0" style="1629" hidden="1" customWidth="1"/>
    <col min="9740" max="9741" width="6.85546875" style="1629" customWidth="1"/>
    <col min="9742" max="9743" width="0" style="1629" hidden="1" customWidth="1"/>
    <col min="9744" max="9744" width="10.5703125" style="1629" customWidth="1"/>
    <col min="9745" max="9745" width="11.7109375" style="1629" customWidth="1"/>
    <col min="9746" max="9746" width="7.42578125" style="1629" customWidth="1"/>
    <col min="9747" max="9747" width="0" style="1629" hidden="1" customWidth="1"/>
    <col min="9748" max="9748" width="11.85546875" style="1629" customWidth="1"/>
    <col min="9749" max="9749" width="7.42578125" style="1629" customWidth="1"/>
    <col min="9750" max="9750" width="0" style="1629" hidden="1" customWidth="1"/>
    <col min="9751" max="9751" width="7.42578125" style="1629" customWidth="1"/>
    <col min="9752" max="9752" width="19.28515625" style="1629" customWidth="1"/>
    <col min="9753" max="9985" width="9.140625" style="1629"/>
    <col min="9986" max="9986" width="4.7109375" style="1629" customWidth="1"/>
    <col min="9987" max="9987" width="29.7109375" style="1629" customWidth="1"/>
    <col min="9988" max="9988" width="0" style="1629" hidden="1" customWidth="1"/>
    <col min="9989" max="9989" width="6" style="1629" customWidth="1"/>
    <col min="9990" max="9990" width="6.5703125" style="1629" customWidth="1"/>
    <col min="9991" max="9992" width="0" style="1629" hidden="1" customWidth="1"/>
    <col min="9993" max="9993" width="11.85546875" style="1629" customWidth="1"/>
    <col min="9994" max="9994" width="12.5703125" style="1629" customWidth="1"/>
    <col min="9995" max="9995" width="0" style="1629" hidden="1" customWidth="1"/>
    <col min="9996" max="9997" width="6.85546875" style="1629" customWidth="1"/>
    <col min="9998" max="9999" width="0" style="1629" hidden="1" customWidth="1"/>
    <col min="10000" max="10000" width="10.5703125" style="1629" customWidth="1"/>
    <col min="10001" max="10001" width="11.7109375" style="1629" customWidth="1"/>
    <col min="10002" max="10002" width="7.42578125" style="1629" customWidth="1"/>
    <col min="10003" max="10003" width="0" style="1629" hidden="1" customWidth="1"/>
    <col min="10004" max="10004" width="11.85546875" style="1629" customWidth="1"/>
    <col min="10005" max="10005" width="7.42578125" style="1629" customWidth="1"/>
    <col min="10006" max="10006" width="0" style="1629" hidden="1" customWidth="1"/>
    <col min="10007" max="10007" width="7.42578125" style="1629" customWidth="1"/>
    <col min="10008" max="10008" width="19.28515625" style="1629" customWidth="1"/>
    <col min="10009" max="10241" width="9.140625" style="1629"/>
    <col min="10242" max="10242" width="4.7109375" style="1629" customWidth="1"/>
    <col min="10243" max="10243" width="29.7109375" style="1629" customWidth="1"/>
    <col min="10244" max="10244" width="0" style="1629" hidden="1" customWidth="1"/>
    <col min="10245" max="10245" width="6" style="1629" customWidth="1"/>
    <col min="10246" max="10246" width="6.5703125" style="1629" customWidth="1"/>
    <col min="10247" max="10248" width="0" style="1629" hidden="1" customWidth="1"/>
    <col min="10249" max="10249" width="11.85546875" style="1629" customWidth="1"/>
    <col min="10250" max="10250" width="12.5703125" style="1629" customWidth="1"/>
    <col min="10251" max="10251" width="0" style="1629" hidden="1" customWidth="1"/>
    <col min="10252" max="10253" width="6.85546875" style="1629" customWidth="1"/>
    <col min="10254" max="10255" width="0" style="1629" hidden="1" customWidth="1"/>
    <col min="10256" max="10256" width="10.5703125" style="1629" customWidth="1"/>
    <col min="10257" max="10257" width="11.7109375" style="1629" customWidth="1"/>
    <col min="10258" max="10258" width="7.42578125" style="1629" customWidth="1"/>
    <col min="10259" max="10259" width="0" style="1629" hidden="1" customWidth="1"/>
    <col min="10260" max="10260" width="11.85546875" style="1629" customWidth="1"/>
    <col min="10261" max="10261" width="7.42578125" style="1629" customWidth="1"/>
    <col min="10262" max="10262" width="0" style="1629" hidden="1" customWidth="1"/>
    <col min="10263" max="10263" width="7.42578125" style="1629" customWidth="1"/>
    <col min="10264" max="10264" width="19.28515625" style="1629" customWidth="1"/>
    <col min="10265" max="10497" width="9.140625" style="1629"/>
    <col min="10498" max="10498" width="4.7109375" style="1629" customWidth="1"/>
    <col min="10499" max="10499" width="29.7109375" style="1629" customWidth="1"/>
    <col min="10500" max="10500" width="0" style="1629" hidden="1" customWidth="1"/>
    <col min="10501" max="10501" width="6" style="1629" customWidth="1"/>
    <col min="10502" max="10502" width="6.5703125" style="1629" customWidth="1"/>
    <col min="10503" max="10504" width="0" style="1629" hidden="1" customWidth="1"/>
    <col min="10505" max="10505" width="11.85546875" style="1629" customWidth="1"/>
    <col min="10506" max="10506" width="12.5703125" style="1629" customWidth="1"/>
    <col min="10507" max="10507" width="0" style="1629" hidden="1" customWidth="1"/>
    <col min="10508" max="10509" width="6.85546875" style="1629" customWidth="1"/>
    <col min="10510" max="10511" width="0" style="1629" hidden="1" customWidth="1"/>
    <col min="10512" max="10512" width="10.5703125" style="1629" customWidth="1"/>
    <col min="10513" max="10513" width="11.7109375" style="1629" customWidth="1"/>
    <col min="10514" max="10514" width="7.42578125" style="1629" customWidth="1"/>
    <col min="10515" max="10515" width="0" style="1629" hidden="1" customWidth="1"/>
    <col min="10516" max="10516" width="11.85546875" style="1629" customWidth="1"/>
    <col min="10517" max="10517" width="7.42578125" style="1629" customWidth="1"/>
    <col min="10518" max="10518" width="0" style="1629" hidden="1" customWidth="1"/>
    <col min="10519" max="10519" width="7.42578125" style="1629" customWidth="1"/>
    <col min="10520" max="10520" width="19.28515625" style="1629" customWidth="1"/>
    <col min="10521" max="10753" width="9.140625" style="1629"/>
    <col min="10754" max="10754" width="4.7109375" style="1629" customWidth="1"/>
    <col min="10755" max="10755" width="29.7109375" style="1629" customWidth="1"/>
    <col min="10756" max="10756" width="0" style="1629" hidden="1" customWidth="1"/>
    <col min="10757" max="10757" width="6" style="1629" customWidth="1"/>
    <col min="10758" max="10758" width="6.5703125" style="1629" customWidth="1"/>
    <col min="10759" max="10760" width="0" style="1629" hidden="1" customWidth="1"/>
    <col min="10761" max="10761" width="11.85546875" style="1629" customWidth="1"/>
    <col min="10762" max="10762" width="12.5703125" style="1629" customWidth="1"/>
    <col min="10763" max="10763" width="0" style="1629" hidden="1" customWidth="1"/>
    <col min="10764" max="10765" width="6.85546875" style="1629" customWidth="1"/>
    <col min="10766" max="10767" width="0" style="1629" hidden="1" customWidth="1"/>
    <col min="10768" max="10768" width="10.5703125" style="1629" customWidth="1"/>
    <col min="10769" max="10769" width="11.7109375" style="1629" customWidth="1"/>
    <col min="10770" max="10770" width="7.42578125" style="1629" customWidth="1"/>
    <col min="10771" max="10771" width="0" style="1629" hidden="1" customWidth="1"/>
    <col min="10772" max="10772" width="11.85546875" style="1629" customWidth="1"/>
    <col min="10773" max="10773" width="7.42578125" style="1629" customWidth="1"/>
    <col min="10774" max="10774" width="0" style="1629" hidden="1" customWidth="1"/>
    <col min="10775" max="10775" width="7.42578125" style="1629" customWidth="1"/>
    <col min="10776" max="10776" width="19.28515625" style="1629" customWidth="1"/>
    <col min="10777" max="11009" width="9.140625" style="1629"/>
    <col min="11010" max="11010" width="4.7109375" style="1629" customWidth="1"/>
    <col min="11011" max="11011" width="29.7109375" style="1629" customWidth="1"/>
    <col min="11012" max="11012" width="0" style="1629" hidden="1" customWidth="1"/>
    <col min="11013" max="11013" width="6" style="1629" customWidth="1"/>
    <col min="11014" max="11014" width="6.5703125" style="1629" customWidth="1"/>
    <col min="11015" max="11016" width="0" style="1629" hidden="1" customWidth="1"/>
    <col min="11017" max="11017" width="11.85546875" style="1629" customWidth="1"/>
    <col min="11018" max="11018" width="12.5703125" style="1629" customWidth="1"/>
    <col min="11019" max="11019" width="0" style="1629" hidden="1" customWidth="1"/>
    <col min="11020" max="11021" width="6.85546875" style="1629" customWidth="1"/>
    <col min="11022" max="11023" width="0" style="1629" hidden="1" customWidth="1"/>
    <col min="11024" max="11024" width="10.5703125" style="1629" customWidth="1"/>
    <col min="11025" max="11025" width="11.7109375" style="1629" customWidth="1"/>
    <col min="11026" max="11026" width="7.42578125" style="1629" customWidth="1"/>
    <col min="11027" max="11027" width="0" style="1629" hidden="1" customWidth="1"/>
    <col min="11028" max="11028" width="11.85546875" style="1629" customWidth="1"/>
    <col min="11029" max="11029" width="7.42578125" style="1629" customWidth="1"/>
    <col min="11030" max="11030" width="0" style="1629" hidden="1" customWidth="1"/>
    <col min="11031" max="11031" width="7.42578125" style="1629" customWidth="1"/>
    <col min="11032" max="11032" width="19.28515625" style="1629" customWidth="1"/>
    <col min="11033" max="11265" width="9.140625" style="1629"/>
    <col min="11266" max="11266" width="4.7109375" style="1629" customWidth="1"/>
    <col min="11267" max="11267" width="29.7109375" style="1629" customWidth="1"/>
    <col min="11268" max="11268" width="0" style="1629" hidden="1" customWidth="1"/>
    <col min="11269" max="11269" width="6" style="1629" customWidth="1"/>
    <col min="11270" max="11270" width="6.5703125" style="1629" customWidth="1"/>
    <col min="11271" max="11272" width="0" style="1629" hidden="1" customWidth="1"/>
    <col min="11273" max="11273" width="11.85546875" style="1629" customWidth="1"/>
    <col min="11274" max="11274" width="12.5703125" style="1629" customWidth="1"/>
    <col min="11275" max="11275" width="0" style="1629" hidden="1" customWidth="1"/>
    <col min="11276" max="11277" width="6.85546875" style="1629" customWidth="1"/>
    <col min="11278" max="11279" width="0" style="1629" hidden="1" customWidth="1"/>
    <col min="11280" max="11280" width="10.5703125" style="1629" customWidth="1"/>
    <col min="11281" max="11281" width="11.7109375" style="1629" customWidth="1"/>
    <col min="11282" max="11282" width="7.42578125" style="1629" customWidth="1"/>
    <col min="11283" max="11283" width="0" style="1629" hidden="1" customWidth="1"/>
    <col min="11284" max="11284" width="11.85546875" style="1629" customWidth="1"/>
    <col min="11285" max="11285" width="7.42578125" style="1629" customWidth="1"/>
    <col min="11286" max="11286" width="0" style="1629" hidden="1" customWidth="1"/>
    <col min="11287" max="11287" width="7.42578125" style="1629" customWidth="1"/>
    <col min="11288" max="11288" width="19.28515625" style="1629" customWidth="1"/>
    <col min="11289" max="11521" width="9.140625" style="1629"/>
    <col min="11522" max="11522" width="4.7109375" style="1629" customWidth="1"/>
    <col min="11523" max="11523" width="29.7109375" style="1629" customWidth="1"/>
    <col min="11524" max="11524" width="0" style="1629" hidden="1" customWidth="1"/>
    <col min="11525" max="11525" width="6" style="1629" customWidth="1"/>
    <col min="11526" max="11526" width="6.5703125" style="1629" customWidth="1"/>
    <col min="11527" max="11528" width="0" style="1629" hidden="1" customWidth="1"/>
    <col min="11529" max="11529" width="11.85546875" style="1629" customWidth="1"/>
    <col min="11530" max="11530" width="12.5703125" style="1629" customWidth="1"/>
    <col min="11531" max="11531" width="0" style="1629" hidden="1" customWidth="1"/>
    <col min="11532" max="11533" width="6.85546875" style="1629" customWidth="1"/>
    <col min="11534" max="11535" width="0" style="1629" hidden="1" customWidth="1"/>
    <col min="11536" max="11536" width="10.5703125" style="1629" customWidth="1"/>
    <col min="11537" max="11537" width="11.7109375" style="1629" customWidth="1"/>
    <col min="11538" max="11538" width="7.42578125" style="1629" customWidth="1"/>
    <col min="11539" max="11539" width="0" style="1629" hidden="1" customWidth="1"/>
    <col min="11540" max="11540" width="11.85546875" style="1629" customWidth="1"/>
    <col min="11541" max="11541" width="7.42578125" style="1629" customWidth="1"/>
    <col min="11542" max="11542" width="0" style="1629" hidden="1" customWidth="1"/>
    <col min="11543" max="11543" width="7.42578125" style="1629" customWidth="1"/>
    <col min="11544" max="11544" width="19.28515625" style="1629" customWidth="1"/>
    <col min="11545" max="11777" width="9.140625" style="1629"/>
    <col min="11778" max="11778" width="4.7109375" style="1629" customWidth="1"/>
    <col min="11779" max="11779" width="29.7109375" style="1629" customWidth="1"/>
    <col min="11780" max="11780" width="0" style="1629" hidden="1" customWidth="1"/>
    <col min="11781" max="11781" width="6" style="1629" customWidth="1"/>
    <col min="11782" max="11782" width="6.5703125" style="1629" customWidth="1"/>
    <col min="11783" max="11784" width="0" style="1629" hidden="1" customWidth="1"/>
    <col min="11785" max="11785" width="11.85546875" style="1629" customWidth="1"/>
    <col min="11786" max="11786" width="12.5703125" style="1629" customWidth="1"/>
    <col min="11787" max="11787" width="0" style="1629" hidden="1" customWidth="1"/>
    <col min="11788" max="11789" width="6.85546875" style="1629" customWidth="1"/>
    <col min="11790" max="11791" width="0" style="1629" hidden="1" customWidth="1"/>
    <col min="11792" max="11792" width="10.5703125" style="1629" customWidth="1"/>
    <col min="11793" max="11793" width="11.7109375" style="1629" customWidth="1"/>
    <col min="11794" max="11794" width="7.42578125" style="1629" customWidth="1"/>
    <col min="11795" max="11795" width="0" style="1629" hidden="1" customWidth="1"/>
    <col min="11796" max="11796" width="11.85546875" style="1629" customWidth="1"/>
    <col min="11797" max="11797" width="7.42578125" style="1629" customWidth="1"/>
    <col min="11798" max="11798" width="0" style="1629" hidden="1" customWidth="1"/>
    <col min="11799" max="11799" width="7.42578125" style="1629" customWidth="1"/>
    <col min="11800" max="11800" width="19.28515625" style="1629" customWidth="1"/>
    <col min="11801" max="12033" width="9.140625" style="1629"/>
    <col min="12034" max="12034" width="4.7109375" style="1629" customWidth="1"/>
    <col min="12035" max="12035" width="29.7109375" style="1629" customWidth="1"/>
    <col min="12036" max="12036" width="0" style="1629" hidden="1" customWidth="1"/>
    <col min="12037" max="12037" width="6" style="1629" customWidth="1"/>
    <col min="12038" max="12038" width="6.5703125" style="1629" customWidth="1"/>
    <col min="12039" max="12040" width="0" style="1629" hidden="1" customWidth="1"/>
    <col min="12041" max="12041" width="11.85546875" style="1629" customWidth="1"/>
    <col min="12042" max="12042" width="12.5703125" style="1629" customWidth="1"/>
    <col min="12043" max="12043" width="0" style="1629" hidden="1" customWidth="1"/>
    <col min="12044" max="12045" width="6.85546875" style="1629" customWidth="1"/>
    <col min="12046" max="12047" width="0" style="1629" hidden="1" customWidth="1"/>
    <col min="12048" max="12048" width="10.5703125" style="1629" customWidth="1"/>
    <col min="12049" max="12049" width="11.7109375" style="1629" customWidth="1"/>
    <col min="12050" max="12050" width="7.42578125" style="1629" customWidth="1"/>
    <col min="12051" max="12051" width="0" style="1629" hidden="1" customWidth="1"/>
    <col min="12052" max="12052" width="11.85546875" style="1629" customWidth="1"/>
    <col min="12053" max="12053" width="7.42578125" style="1629" customWidth="1"/>
    <col min="12054" max="12054" width="0" style="1629" hidden="1" customWidth="1"/>
    <col min="12055" max="12055" width="7.42578125" style="1629" customWidth="1"/>
    <col min="12056" max="12056" width="19.28515625" style="1629" customWidth="1"/>
    <col min="12057" max="12289" width="9.140625" style="1629"/>
    <col min="12290" max="12290" width="4.7109375" style="1629" customWidth="1"/>
    <col min="12291" max="12291" width="29.7109375" style="1629" customWidth="1"/>
    <col min="12292" max="12292" width="0" style="1629" hidden="1" customWidth="1"/>
    <col min="12293" max="12293" width="6" style="1629" customWidth="1"/>
    <col min="12294" max="12294" width="6.5703125" style="1629" customWidth="1"/>
    <col min="12295" max="12296" width="0" style="1629" hidden="1" customWidth="1"/>
    <col min="12297" max="12297" width="11.85546875" style="1629" customWidth="1"/>
    <col min="12298" max="12298" width="12.5703125" style="1629" customWidth="1"/>
    <col min="12299" max="12299" width="0" style="1629" hidden="1" customWidth="1"/>
    <col min="12300" max="12301" width="6.85546875" style="1629" customWidth="1"/>
    <col min="12302" max="12303" width="0" style="1629" hidden="1" customWidth="1"/>
    <col min="12304" max="12304" width="10.5703125" style="1629" customWidth="1"/>
    <col min="12305" max="12305" width="11.7109375" style="1629" customWidth="1"/>
    <col min="12306" max="12306" width="7.42578125" style="1629" customWidth="1"/>
    <col min="12307" max="12307" width="0" style="1629" hidden="1" customWidth="1"/>
    <col min="12308" max="12308" width="11.85546875" style="1629" customWidth="1"/>
    <col min="12309" max="12309" width="7.42578125" style="1629" customWidth="1"/>
    <col min="12310" max="12310" width="0" style="1629" hidden="1" customWidth="1"/>
    <col min="12311" max="12311" width="7.42578125" style="1629" customWidth="1"/>
    <col min="12312" max="12312" width="19.28515625" style="1629" customWidth="1"/>
    <col min="12313" max="12545" width="9.140625" style="1629"/>
    <col min="12546" max="12546" width="4.7109375" style="1629" customWidth="1"/>
    <col min="12547" max="12547" width="29.7109375" style="1629" customWidth="1"/>
    <col min="12548" max="12548" width="0" style="1629" hidden="1" customWidth="1"/>
    <col min="12549" max="12549" width="6" style="1629" customWidth="1"/>
    <col min="12550" max="12550" width="6.5703125" style="1629" customWidth="1"/>
    <col min="12551" max="12552" width="0" style="1629" hidden="1" customWidth="1"/>
    <col min="12553" max="12553" width="11.85546875" style="1629" customWidth="1"/>
    <col min="12554" max="12554" width="12.5703125" style="1629" customWidth="1"/>
    <col min="12555" max="12555" width="0" style="1629" hidden="1" customWidth="1"/>
    <col min="12556" max="12557" width="6.85546875" style="1629" customWidth="1"/>
    <col min="12558" max="12559" width="0" style="1629" hidden="1" customWidth="1"/>
    <col min="12560" max="12560" width="10.5703125" style="1629" customWidth="1"/>
    <col min="12561" max="12561" width="11.7109375" style="1629" customWidth="1"/>
    <col min="12562" max="12562" width="7.42578125" style="1629" customWidth="1"/>
    <col min="12563" max="12563" width="0" style="1629" hidden="1" customWidth="1"/>
    <col min="12564" max="12564" width="11.85546875" style="1629" customWidth="1"/>
    <col min="12565" max="12565" width="7.42578125" style="1629" customWidth="1"/>
    <col min="12566" max="12566" width="0" style="1629" hidden="1" customWidth="1"/>
    <col min="12567" max="12567" width="7.42578125" style="1629" customWidth="1"/>
    <col min="12568" max="12568" width="19.28515625" style="1629" customWidth="1"/>
    <col min="12569" max="12801" width="9.140625" style="1629"/>
    <col min="12802" max="12802" width="4.7109375" style="1629" customWidth="1"/>
    <col min="12803" max="12803" width="29.7109375" style="1629" customWidth="1"/>
    <col min="12804" max="12804" width="0" style="1629" hidden="1" customWidth="1"/>
    <col min="12805" max="12805" width="6" style="1629" customWidth="1"/>
    <col min="12806" max="12806" width="6.5703125" style="1629" customWidth="1"/>
    <col min="12807" max="12808" width="0" style="1629" hidden="1" customWidth="1"/>
    <col min="12809" max="12809" width="11.85546875" style="1629" customWidth="1"/>
    <col min="12810" max="12810" width="12.5703125" style="1629" customWidth="1"/>
    <col min="12811" max="12811" width="0" style="1629" hidden="1" customWidth="1"/>
    <col min="12812" max="12813" width="6.85546875" style="1629" customWidth="1"/>
    <col min="12814" max="12815" width="0" style="1629" hidden="1" customWidth="1"/>
    <col min="12816" max="12816" width="10.5703125" style="1629" customWidth="1"/>
    <col min="12817" max="12817" width="11.7109375" style="1629" customWidth="1"/>
    <col min="12818" max="12818" width="7.42578125" style="1629" customWidth="1"/>
    <col min="12819" max="12819" width="0" style="1629" hidden="1" customWidth="1"/>
    <col min="12820" max="12820" width="11.85546875" style="1629" customWidth="1"/>
    <col min="12821" max="12821" width="7.42578125" style="1629" customWidth="1"/>
    <col min="12822" max="12822" width="0" style="1629" hidden="1" customWidth="1"/>
    <col min="12823" max="12823" width="7.42578125" style="1629" customWidth="1"/>
    <col min="12824" max="12824" width="19.28515625" style="1629" customWidth="1"/>
    <col min="12825" max="13057" width="9.140625" style="1629"/>
    <col min="13058" max="13058" width="4.7109375" style="1629" customWidth="1"/>
    <col min="13059" max="13059" width="29.7109375" style="1629" customWidth="1"/>
    <col min="13060" max="13060" width="0" style="1629" hidden="1" customWidth="1"/>
    <col min="13061" max="13061" width="6" style="1629" customWidth="1"/>
    <col min="13062" max="13062" width="6.5703125" style="1629" customWidth="1"/>
    <col min="13063" max="13064" width="0" style="1629" hidden="1" customWidth="1"/>
    <col min="13065" max="13065" width="11.85546875" style="1629" customWidth="1"/>
    <col min="13066" max="13066" width="12.5703125" style="1629" customWidth="1"/>
    <col min="13067" max="13067" width="0" style="1629" hidden="1" customWidth="1"/>
    <col min="13068" max="13069" width="6.85546875" style="1629" customWidth="1"/>
    <col min="13070" max="13071" width="0" style="1629" hidden="1" customWidth="1"/>
    <col min="13072" max="13072" width="10.5703125" style="1629" customWidth="1"/>
    <col min="13073" max="13073" width="11.7109375" style="1629" customWidth="1"/>
    <col min="13074" max="13074" width="7.42578125" style="1629" customWidth="1"/>
    <col min="13075" max="13075" width="0" style="1629" hidden="1" customWidth="1"/>
    <col min="13076" max="13076" width="11.85546875" style="1629" customWidth="1"/>
    <col min="13077" max="13077" width="7.42578125" style="1629" customWidth="1"/>
    <col min="13078" max="13078" width="0" style="1629" hidden="1" customWidth="1"/>
    <col min="13079" max="13079" width="7.42578125" style="1629" customWidth="1"/>
    <col min="13080" max="13080" width="19.28515625" style="1629" customWidth="1"/>
    <col min="13081" max="13313" width="9.140625" style="1629"/>
    <col min="13314" max="13314" width="4.7109375" style="1629" customWidth="1"/>
    <col min="13315" max="13315" width="29.7109375" style="1629" customWidth="1"/>
    <col min="13316" max="13316" width="0" style="1629" hidden="1" customWidth="1"/>
    <col min="13317" max="13317" width="6" style="1629" customWidth="1"/>
    <col min="13318" max="13318" width="6.5703125" style="1629" customWidth="1"/>
    <col min="13319" max="13320" width="0" style="1629" hidden="1" customWidth="1"/>
    <col min="13321" max="13321" width="11.85546875" style="1629" customWidth="1"/>
    <col min="13322" max="13322" width="12.5703125" style="1629" customWidth="1"/>
    <col min="13323" max="13323" width="0" style="1629" hidden="1" customWidth="1"/>
    <col min="13324" max="13325" width="6.85546875" style="1629" customWidth="1"/>
    <col min="13326" max="13327" width="0" style="1629" hidden="1" customWidth="1"/>
    <col min="13328" max="13328" width="10.5703125" style="1629" customWidth="1"/>
    <col min="13329" max="13329" width="11.7109375" style="1629" customWidth="1"/>
    <col min="13330" max="13330" width="7.42578125" style="1629" customWidth="1"/>
    <col min="13331" max="13331" width="0" style="1629" hidden="1" customWidth="1"/>
    <col min="13332" max="13332" width="11.85546875" style="1629" customWidth="1"/>
    <col min="13333" max="13333" width="7.42578125" style="1629" customWidth="1"/>
    <col min="13334" max="13334" width="0" style="1629" hidden="1" customWidth="1"/>
    <col min="13335" max="13335" width="7.42578125" style="1629" customWidth="1"/>
    <col min="13336" max="13336" width="19.28515625" style="1629" customWidth="1"/>
    <col min="13337" max="13569" width="9.140625" style="1629"/>
    <col min="13570" max="13570" width="4.7109375" style="1629" customWidth="1"/>
    <col min="13571" max="13571" width="29.7109375" style="1629" customWidth="1"/>
    <col min="13572" max="13572" width="0" style="1629" hidden="1" customWidth="1"/>
    <col min="13573" max="13573" width="6" style="1629" customWidth="1"/>
    <col min="13574" max="13574" width="6.5703125" style="1629" customWidth="1"/>
    <col min="13575" max="13576" width="0" style="1629" hidden="1" customWidth="1"/>
    <col min="13577" max="13577" width="11.85546875" style="1629" customWidth="1"/>
    <col min="13578" max="13578" width="12.5703125" style="1629" customWidth="1"/>
    <col min="13579" max="13579" width="0" style="1629" hidden="1" customWidth="1"/>
    <col min="13580" max="13581" width="6.85546875" style="1629" customWidth="1"/>
    <col min="13582" max="13583" width="0" style="1629" hidden="1" customWidth="1"/>
    <col min="13584" max="13584" width="10.5703125" style="1629" customWidth="1"/>
    <col min="13585" max="13585" width="11.7109375" style="1629" customWidth="1"/>
    <col min="13586" max="13586" width="7.42578125" style="1629" customWidth="1"/>
    <col min="13587" max="13587" width="0" style="1629" hidden="1" customWidth="1"/>
    <col min="13588" max="13588" width="11.85546875" style="1629" customWidth="1"/>
    <col min="13589" max="13589" width="7.42578125" style="1629" customWidth="1"/>
    <col min="13590" max="13590" width="0" style="1629" hidden="1" customWidth="1"/>
    <col min="13591" max="13591" width="7.42578125" style="1629" customWidth="1"/>
    <col min="13592" max="13592" width="19.28515625" style="1629" customWidth="1"/>
    <col min="13593" max="13825" width="9.140625" style="1629"/>
    <col min="13826" max="13826" width="4.7109375" style="1629" customWidth="1"/>
    <col min="13827" max="13827" width="29.7109375" style="1629" customWidth="1"/>
    <col min="13828" max="13828" width="0" style="1629" hidden="1" customWidth="1"/>
    <col min="13829" max="13829" width="6" style="1629" customWidth="1"/>
    <col min="13830" max="13830" width="6.5703125" style="1629" customWidth="1"/>
    <col min="13831" max="13832" width="0" style="1629" hidden="1" customWidth="1"/>
    <col min="13833" max="13833" width="11.85546875" style="1629" customWidth="1"/>
    <col min="13834" max="13834" width="12.5703125" style="1629" customWidth="1"/>
    <col min="13835" max="13835" width="0" style="1629" hidden="1" customWidth="1"/>
    <col min="13836" max="13837" width="6.85546875" style="1629" customWidth="1"/>
    <col min="13838" max="13839" width="0" style="1629" hidden="1" customWidth="1"/>
    <col min="13840" max="13840" width="10.5703125" style="1629" customWidth="1"/>
    <col min="13841" max="13841" width="11.7109375" style="1629" customWidth="1"/>
    <col min="13842" max="13842" width="7.42578125" style="1629" customWidth="1"/>
    <col min="13843" max="13843" width="0" style="1629" hidden="1" customWidth="1"/>
    <col min="13844" max="13844" width="11.85546875" style="1629" customWidth="1"/>
    <col min="13845" max="13845" width="7.42578125" style="1629" customWidth="1"/>
    <col min="13846" max="13846" width="0" style="1629" hidden="1" customWidth="1"/>
    <col min="13847" max="13847" width="7.42578125" style="1629" customWidth="1"/>
    <col min="13848" max="13848" width="19.28515625" style="1629" customWidth="1"/>
    <col min="13849" max="14081" width="9.140625" style="1629"/>
    <col min="14082" max="14082" width="4.7109375" style="1629" customWidth="1"/>
    <col min="14083" max="14083" width="29.7109375" style="1629" customWidth="1"/>
    <col min="14084" max="14084" width="0" style="1629" hidden="1" customWidth="1"/>
    <col min="14085" max="14085" width="6" style="1629" customWidth="1"/>
    <col min="14086" max="14086" width="6.5703125" style="1629" customWidth="1"/>
    <col min="14087" max="14088" width="0" style="1629" hidden="1" customWidth="1"/>
    <col min="14089" max="14089" width="11.85546875" style="1629" customWidth="1"/>
    <col min="14090" max="14090" width="12.5703125" style="1629" customWidth="1"/>
    <col min="14091" max="14091" width="0" style="1629" hidden="1" customWidth="1"/>
    <col min="14092" max="14093" width="6.85546875" style="1629" customWidth="1"/>
    <col min="14094" max="14095" width="0" style="1629" hidden="1" customWidth="1"/>
    <col min="14096" max="14096" width="10.5703125" style="1629" customWidth="1"/>
    <col min="14097" max="14097" width="11.7109375" style="1629" customWidth="1"/>
    <col min="14098" max="14098" width="7.42578125" style="1629" customWidth="1"/>
    <col min="14099" max="14099" width="0" style="1629" hidden="1" customWidth="1"/>
    <col min="14100" max="14100" width="11.85546875" style="1629" customWidth="1"/>
    <col min="14101" max="14101" width="7.42578125" style="1629" customWidth="1"/>
    <col min="14102" max="14102" width="0" style="1629" hidden="1" customWidth="1"/>
    <col min="14103" max="14103" width="7.42578125" style="1629" customWidth="1"/>
    <col min="14104" max="14104" width="19.28515625" style="1629" customWidth="1"/>
    <col min="14105" max="14337" width="9.140625" style="1629"/>
    <col min="14338" max="14338" width="4.7109375" style="1629" customWidth="1"/>
    <col min="14339" max="14339" width="29.7109375" style="1629" customWidth="1"/>
    <col min="14340" max="14340" width="0" style="1629" hidden="1" customWidth="1"/>
    <col min="14341" max="14341" width="6" style="1629" customWidth="1"/>
    <col min="14342" max="14342" width="6.5703125" style="1629" customWidth="1"/>
    <col min="14343" max="14344" width="0" style="1629" hidden="1" customWidth="1"/>
    <col min="14345" max="14345" width="11.85546875" style="1629" customWidth="1"/>
    <col min="14346" max="14346" width="12.5703125" style="1629" customWidth="1"/>
    <col min="14347" max="14347" width="0" style="1629" hidden="1" customWidth="1"/>
    <col min="14348" max="14349" width="6.85546875" style="1629" customWidth="1"/>
    <col min="14350" max="14351" width="0" style="1629" hidden="1" customWidth="1"/>
    <col min="14352" max="14352" width="10.5703125" style="1629" customWidth="1"/>
    <col min="14353" max="14353" width="11.7109375" style="1629" customWidth="1"/>
    <col min="14354" max="14354" width="7.42578125" style="1629" customWidth="1"/>
    <col min="14355" max="14355" width="0" style="1629" hidden="1" customWidth="1"/>
    <col min="14356" max="14356" width="11.85546875" style="1629" customWidth="1"/>
    <col min="14357" max="14357" width="7.42578125" style="1629" customWidth="1"/>
    <col min="14358" max="14358" width="0" style="1629" hidden="1" customWidth="1"/>
    <col min="14359" max="14359" width="7.42578125" style="1629" customWidth="1"/>
    <col min="14360" max="14360" width="19.28515625" style="1629" customWidth="1"/>
    <col min="14361" max="14593" width="9.140625" style="1629"/>
    <col min="14594" max="14594" width="4.7109375" style="1629" customWidth="1"/>
    <col min="14595" max="14595" width="29.7109375" style="1629" customWidth="1"/>
    <col min="14596" max="14596" width="0" style="1629" hidden="1" customWidth="1"/>
    <col min="14597" max="14597" width="6" style="1629" customWidth="1"/>
    <col min="14598" max="14598" width="6.5703125" style="1629" customWidth="1"/>
    <col min="14599" max="14600" width="0" style="1629" hidden="1" customWidth="1"/>
    <col min="14601" max="14601" width="11.85546875" style="1629" customWidth="1"/>
    <col min="14602" max="14602" width="12.5703125" style="1629" customWidth="1"/>
    <col min="14603" max="14603" width="0" style="1629" hidden="1" customWidth="1"/>
    <col min="14604" max="14605" width="6.85546875" style="1629" customWidth="1"/>
    <col min="14606" max="14607" width="0" style="1629" hidden="1" customWidth="1"/>
    <col min="14608" max="14608" width="10.5703125" style="1629" customWidth="1"/>
    <col min="14609" max="14609" width="11.7109375" style="1629" customWidth="1"/>
    <col min="14610" max="14610" width="7.42578125" style="1629" customWidth="1"/>
    <col min="14611" max="14611" width="0" style="1629" hidden="1" customWidth="1"/>
    <col min="14612" max="14612" width="11.85546875" style="1629" customWidth="1"/>
    <col min="14613" max="14613" width="7.42578125" style="1629" customWidth="1"/>
    <col min="14614" max="14614" width="0" style="1629" hidden="1" customWidth="1"/>
    <col min="14615" max="14615" width="7.42578125" style="1629" customWidth="1"/>
    <col min="14616" max="14616" width="19.28515625" style="1629" customWidth="1"/>
    <col min="14617" max="14849" width="9.140625" style="1629"/>
    <col min="14850" max="14850" width="4.7109375" style="1629" customWidth="1"/>
    <col min="14851" max="14851" width="29.7109375" style="1629" customWidth="1"/>
    <col min="14852" max="14852" width="0" style="1629" hidden="1" customWidth="1"/>
    <col min="14853" max="14853" width="6" style="1629" customWidth="1"/>
    <col min="14854" max="14854" width="6.5703125" style="1629" customWidth="1"/>
    <col min="14855" max="14856" width="0" style="1629" hidden="1" customWidth="1"/>
    <col min="14857" max="14857" width="11.85546875" style="1629" customWidth="1"/>
    <col min="14858" max="14858" width="12.5703125" style="1629" customWidth="1"/>
    <col min="14859" max="14859" width="0" style="1629" hidden="1" customWidth="1"/>
    <col min="14860" max="14861" width="6.85546875" style="1629" customWidth="1"/>
    <col min="14862" max="14863" width="0" style="1629" hidden="1" customWidth="1"/>
    <col min="14864" max="14864" width="10.5703125" style="1629" customWidth="1"/>
    <col min="14865" max="14865" width="11.7109375" style="1629" customWidth="1"/>
    <col min="14866" max="14866" width="7.42578125" style="1629" customWidth="1"/>
    <col min="14867" max="14867" width="0" style="1629" hidden="1" customWidth="1"/>
    <col min="14868" max="14868" width="11.85546875" style="1629" customWidth="1"/>
    <col min="14869" max="14869" width="7.42578125" style="1629" customWidth="1"/>
    <col min="14870" max="14870" width="0" style="1629" hidden="1" customWidth="1"/>
    <col min="14871" max="14871" width="7.42578125" style="1629" customWidth="1"/>
    <col min="14872" max="14872" width="19.28515625" style="1629" customWidth="1"/>
    <col min="14873" max="15105" width="9.140625" style="1629"/>
    <col min="15106" max="15106" width="4.7109375" style="1629" customWidth="1"/>
    <col min="15107" max="15107" width="29.7109375" style="1629" customWidth="1"/>
    <col min="15108" max="15108" width="0" style="1629" hidden="1" customWidth="1"/>
    <col min="15109" max="15109" width="6" style="1629" customWidth="1"/>
    <col min="15110" max="15110" width="6.5703125" style="1629" customWidth="1"/>
    <col min="15111" max="15112" width="0" style="1629" hidden="1" customWidth="1"/>
    <col min="15113" max="15113" width="11.85546875" style="1629" customWidth="1"/>
    <col min="15114" max="15114" width="12.5703125" style="1629" customWidth="1"/>
    <col min="15115" max="15115" width="0" style="1629" hidden="1" customWidth="1"/>
    <col min="15116" max="15117" width="6.85546875" style="1629" customWidth="1"/>
    <col min="15118" max="15119" width="0" style="1629" hidden="1" customWidth="1"/>
    <col min="15120" max="15120" width="10.5703125" style="1629" customWidth="1"/>
    <col min="15121" max="15121" width="11.7109375" style="1629" customWidth="1"/>
    <col min="15122" max="15122" width="7.42578125" style="1629" customWidth="1"/>
    <col min="15123" max="15123" width="0" style="1629" hidden="1" customWidth="1"/>
    <col min="15124" max="15124" width="11.85546875" style="1629" customWidth="1"/>
    <col min="15125" max="15125" width="7.42578125" style="1629" customWidth="1"/>
    <col min="15126" max="15126" width="0" style="1629" hidden="1" customWidth="1"/>
    <col min="15127" max="15127" width="7.42578125" style="1629" customWidth="1"/>
    <col min="15128" max="15128" width="19.28515625" style="1629" customWidth="1"/>
    <col min="15129" max="15361" width="9.140625" style="1629"/>
    <col min="15362" max="15362" width="4.7109375" style="1629" customWidth="1"/>
    <col min="15363" max="15363" width="29.7109375" style="1629" customWidth="1"/>
    <col min="15364" max="15364" width="0" style="1629" hidden="1" customWidth="1"/>
    <col min="15365" max="15365" width="6" style="1629" customWidth="1"/>
    <col min="15366" max="15366" width="6.5703125" style="1629" customWidth="1"/>
    <col min="15367" max="15368" width="0" style="1629" hidden="1" customWidth="1"/>
    <col min="15369" max="15369" width="11.85546875" style="1629" customWidth="1"/>
    <col min="15370" max="15370" width="12.5703125" style="1629" customWidth="1"/>
    <col min="15371" max="15371" width="0" style="1629" hidden="1" customWidth="1"/>
    <col min="15372" max="15373" width="6.85546875" style="1629" customWidth="1"/>
    <col min="15374" max="15375" width="0" style="1629" hidden="1" customWidth="1"/>
    <col min="15376" max="15376" width="10.5703125" style="1629" customWidth="1"/>
    <col min="15377" max="15377" width="11.7109375" style="1629" customWidth="1"/>
    <col min="15378" max="15378" width="7.42578125" style="1629" customWidth="1"/>
    <col min="15379" max="15379" width="0" style="1629" hidden="1" customWidth="1"/>
    <col min="15380" max="15380" width="11.85546875" style="1629" customWidth="1"/>
    <col min="15381" max="15381" width="7.42578125" style="1629" customWidth="1"/>
    <col min="15382" max="15382" width="0" style="1629" hidden="1" customWidth="1"/>
    <col min="15383" max="15383" width="7.42578125" style="1629" customWidth="1"/>
    <col min="15384" max="15384" width="19.28515625" style="1629" customWidth="1"/>
    <col min="15385" max="15617" width="9.140625" style="1629"/>
    <col min="15618" max="15618" width="4.7109375" style="1629" customWidth="1"/>
    <col min="15619" max="15619" width="29.7109375" style="1629" customWidth="1"/>
    <col min="15620" max="15620" width="0" style="1629" hidden="1" customWidth="1"/>
    <col min="15621" max="15621" width="6" style="1629" customWidth="1"/>
    <col min="15622" max="15622" width="6.5703125" style="1629" customWidth="1"/>
    <col min="15623" max="15624" width="0" style="1629" hidden="1" customWidth="1"/>
    <col min="15625" max="15625" width="11.85546875" style="1629" customWidth="1"/>
    <col min="15626" max="15626" width="12.5703125" style="1629" customWidth="1"/>
    <col min="15627" max="15627" width="0" style="1629" hidden="1" customWidth="1"/>
    <col min="15628" max="15629" width="6.85546875" style="1629" customWidth="1"/>
    <col min="15630" max="15631" width="0" style="1629" hidden="1" customWidth="1"/>
    <col min="15632" max="15632" width="10.5703125" style="1629" customWidth="1"/>
    <col min="15633" max="15633" width="11.7109375" style="1629" customWidth="1"/>
    <col min="15634" max="15634" width="7.42578125" style="1629" customWidth="1"/>
    <col min="15635" max="15635" width="0" style="1629" hidden="1" customWidth="1"/>
    <col min="15636" max="15636" width="11.85546875" style="1629" customWidth="1"/>
    <col min="15637" max="15637" width="7.42578125" style="1629" customWidth="1"/>
    <col min="15638" max="15638" width="0" style="1629" hidden="1" customWidth="1"/>
    <col min="15639" max="15639" width="7.42578125" style="1629" customWidth="1"/>
    <col min="15640" max="15640" width="19.28515625" style="1629" customWidth="1"/>
    <col min="15641" max="15873" width="9.140625" style="1629"/>
    <col min="15874" max="15874" width="4.7109375" style="1629" customWidth="1"/>
    <col min="15875" max="15875" width="29.7109375" style="1629" customWidth="1"/>
    <col min="15876" max="15876" width="0" style="1629" hidden="1" customWidth="1"/>
    <col min="15877" max="15877" width="6" style="1629" customWidth="1"/>
    <col min="15878" max="15878" width="6.5703125" style="1629" customWidth="1"/>
    <col min="15879" max="15880" width="0" style="1629" hidden="1" customWidth="1"/>
    <col min="15881" max="15881" width="11.85546875" style="1629" customWidth="1"/>
    <col min="15882" max="15882" width="12.5703125" style="1629" customWidth="1"/>
    <col min="15883" max="15883" width="0" style="1629" hidden="1" customWidth="1"/>
    <col min="15884" max="15885" width="6.85546875" style="1629" customWidth="1"/>
    <col min="15886" max="15887" width="0" style="1629" hidden="1" customWidth="1"/>
    <col min="15888" max="15888" width="10.5703125" style="1629" customWidth="1"/>
    <col min="15889" max="15889" width="11.7109375" style="1629" customWidth="1"/>
    <col min="15890" max="15890" width="7.42578125" style="1629" customWidth="1"/>
    <col min="15891" max="15891" width="0" style="1629" hidden="1" customWidth="1"/>
    <col min="15892" max="15892" width="11.85546875" style="1629" customWidth="1"/>
    <col min="15893" max="15893" width="7.42578125" style="1629" customWidth="1"/>
    <col min="15894" max="15894" width="0" style="1629" hidden="1" customWidth="1"/>
    <col min="15895" max="15895" width="7.42578125" style="1629" customWidth="1"/>
    <col min="15896" max="15896" width="19.28515625" style="1629" customWidth="1"/>
    <col min="15897" max="16129" width="9.140625" style="1629"/>
    <col min="16130" max="16130" width="4.7109375" style="1629" customWidth="1"/>
    <col min="16131" max="16131" width="29.7109375" style="1629" customWidth="1"/>
    <col min="16132" max="16132" width="0" style="1629" hidden="1" customWidth="1"/>
    <col min="16133" max="16133" width="6" style="1629" customWidth="1"/>
    <col min="16134" max="16134" width="6.5703125" style="1629" customWidth="1"/>
    <col min="16135" max="16136" width="0" style="1629" hidden="1" customWidth="1"/>
    <col min="16137" max="16137" width="11.85546875" style="1629" customWidth="1"/>
    <col min="16138" max="16138" width="12.5703125" style="1629" customWidth="1"/>
    <col min="16139" max="16139" width="0" style="1629" hidden="1" customWidth="1"/>
    <col min="16140" max="16141" width="6.85546875" style="1629" customWidth="1"/>
    <col min="16142" max="16143" width="0" style="1629" hidden="1" customWidth="1"/>
    <col min="16144" max="16144" width="10.5703125" style="1629" customWidth="1"/>
    <col min="16145" max="16145" width="11.7109375" style="1629" customWidth="1"/>
    <col min="16146" max="16146" width="7.42578125" style="1629" customWidth="1"/>
    <col min="16147" max="16147" width="0" style="1629" hidden="1" customWidth="1"/>
    <col min="16148" max="16148" width="11.85546875" style="1629" customWidth="1"/>
    <col min="16149" max="16149" width="7.42578125" style="1629" customWidth="1"/>
    <col min="16150" max="16150" width="0" style="1629" hidden="1" customWidth="1"/>
    <col min="16151" max="16151" width="7.42578125" style="1629" customWidth="1"/>
    <col min="16152" max="16152" width="19.28515625" style="1629" customWidth="1"/>
    <col min="16153" max="16384" width="9.140625" style="1629"/>
  </cols>
  <sheetData>
    <row r="1" spans="1:24" s="1628" customFormat="1" ht="21" customHeight="1">
      <c r="A1" s="1948" t="s">
        <v>972</v>
      </c>
      <c r="B1" s="1948"/>
      <c r="C1" s="1948"/>
      <c r="D1" s="1948"/>
      <c r="E1" s="1948"/>
      <c r="F1" s="1948"/>
      <c r="G1" s="1948"/>
      <c r="H1" s="1948"/>
      <c r="I1" s="1948"/>
      <c r="J1" s="1948"/>
      <c r="K1" s="1948"/>
      <c r="L1" s="1948"/>
      <c r="M1" s="1948"/>
      <c r="N1" s="1948"/>
      <c r="O1" s="1948"/>
      <c r="P1" s="1948"/>
      <c r="Q1" s="1948"/>
      <c r="R1" s="1627"/>
      <c r="S1" s="1627"/>
      <c r="T1" s="1943" t="s">
        <v>739</v>
      </c>
      <c r="U1" s="1943"/>
      <c r="V1" s="1943"/>
      <c r="W1" s="1943"/>
      <c r="X1" s="1943"/>
    </row>
    <row r="2" spans="1:24" ht="15.75">
      <c r="A2" s="1944" t="s">
        <v>1323</v>
      </c>
      <c r="B2" s="1944"/>
      <c r="C2" s="1944"/>
      <c r="D2" s="1944"/>
      <c r="E2" s="1944"/>
      <c r="F2" s="1944"/>
      <c r="G2" s="1944"/>
      <c r="H2" s="1944"/>
      <c r="I2" s="1944"/>
      <c r="J2" s="1944"/>
      <c r="K2" s="1944"/>
      <c r="L2" s="1944"/>
      <c r="M2" s="1944"/>
      <c r="N2" s="1944"/>
      <c r="O2" s="1944"/>
      <c r="P2" s="1944"/>
      <c r="Q2" s="1944"/>
      <c r="R2" s="1944"/>
      <c r="S2" s="1944"/>
      <c r="T2" s="1944"/>
      <c r="U2" s="1944"/>
      <c r="V2" s="1944"/>
      <c r="W2" s="1944"/>
      <c r="X2" s="1944"/>
    </row>
    <row r="3" spans="1:24">
      <c r="A3" s="1945" t="str">
        <f>+'kết dư'!A3:F3</f>
        <v>(Kèm theo Báo cáo số 151/BC-UBND ngày 20/3/2026 của UBND xã Cường Lợi)</v>
      </c>
      <c r="B3" s="1945"/>
      <c r="C3" s="1945"/>
      <c r="D3" s="1945"/>
      <c r="E3" s="1945"/>
      <c r="F3" s="1945"/>
      <c r="G3" s="1945"/>
      <c r="H3" s="1945"/>
      <c r="I3" s="1945"/>
      <c r="J3" s="1945"/>
      <c r="K3" s="1945"/>
      <c r="L3" s="1945"/>
      <c r="M3" s="1945"/>
      <c r="N3" s="1945"/>
      <c r="O3" s="1945"/>
      <c r="P3" s="1945"/>
      <c r="Q3" s="1945"/>
      <c r="R3" s="1945"/>
      <c r="S3" s="1945"/>
      <c r="T3" s="1945"/>
      <c r="U3" s="1945"/>
      <c r="V3" s="1945"/>
      <c r="W3" s="1945"/>
      <c r="X3" s="1945"/>
    </row>
    <row r="4" spans="1:24" ht="24" customHeight="1">
      <c r="A4" s="1946" t="s">
        <v>1254</v>
      </c>
      <c r="B4" s="1946"/>
      <c r="C4" s="1946"/>
      <c r="D4" s="1946"/>
      <c r="E4" s="1946"/>
      <c r="F4" s="1946"/>
      <c r="G4" s="1946"/>
      <c r="H4" s="1946"/>
      <c r="I4" s="1946"/>
      <c r="J4" s="1946"/>
      <c r="K4" s="1946"/>
      <c r="L4" s="1946"/>
      <c r="M4" s="1946"/>
      <c r="N4" s="1946"/>
      <c r="O4" s="1946"/>
      <c r="P4" s="1946"/>
      <c r="Q4" s="1946"/>
      <c r="R4" s="1946"/>
      <c r="S4" s="1946"/>
      <c r="T4" s="1946"/>
      <c r="U4" s="1946"/>
      <c r="V4" s="1946"/>
      <c r="W4" s="1946"/>
      <c r="X4" s="1946"/>
    </row>
    <row r="5" spans="1:24" s="1628" customFormat="1" ht="20.45" customHeight="1">
      <c r="A5" s="1938" t="s">
        <v>291</v>
      </c>
      <c r="B5" s="1938" t="s">
        <v>292</v>
      </c>
      <c r="C5" s="1940" t="s">
        <v>1265</v>
      </c>
      <c r="D5" s="1942"/>
      <c r="E5" s="1942"/>
      <c r="F5" s="1942"/>
      <c r="G5" s="1942"/>
      <c r="H5" s="1942"/>
      <c r="I5" s="1941"/>
      <c r="J5" s="1940" t="s">
        <v>1266</v>
      </c>
      <c r="K5" s="1942"/>
      <c r="L5" s="1942"/>
      <c r="M5" s="1942"/>
      <c r="N5" s="1942"/>
      <c r="O5" s="1942"/>
      <c r="P5" s="1942"/>
      <c r="Q5" s="1941"/>
      <c r="R5" s="1940" t="s">
        <v>1267</v>
      </c>
      <c r="S5" s="1942"/>
      <c r="T5" s="1942"/>
      <c r="U5" s="1942"/>
      <c r="V5" s="1942"/>
      <c r="W5" s="1941"/>
      <c r="X5" s="1938" t="s">
        <v>1268</v>
      </c>
    </row>
    <row r="6" spans="1:24" s="1628" customFormat="1" ht="24" customHeight="1">
      <c r="A6" s="1947"/>
      <c r="B6" s="1947"/>
      <c r="C6" s="1938" t="s">
        <v>142</v>
      </c>
      <c r="D6" s="1940" t="s">
        <v>1269</v>
      </c>
      <c r="E6" s="1941"/>
      <c r="F6" s="1940" t="s">
        <v>510</v>
      </c>
      <c r="G6" s="1941"/>
      <c r="H6" s="1940" t="s">
        <v>511</v>
      </c>
      <c r="I6" s="1941"/>
      <c r="J6" s="1938" t="s">
        <v>142</v>
      </c>
      <c r="K6" s="1940" t="s">
        <v>1269</v>
      </c>
      <c r="L6" s="1941"/>
      <c r="M6" s="1940" t="s">
        <v>510</v>
      </c>
      <c r="N6" s="1941"/>
      <c r="O6" s="1938" t="s">
        <v>1324</v>
      </c>
      <c r="P6" s="1940" t="s">
        <v>231</v>
      </c>
      <c r="Q6" s="1941"/>
      <c r="R6" s="1940" t="s">
        <v>1270</v>
      </c>
      <c r="S6" s="1942"/>
      <c r="T6" s="1941"/>
      <c r="U6" s="1940" t="s">
        <v>1271</v>
      </c>
      <c r="V6" s="1942"/>
      <c r="W6" s="1941"/>
      <c r="X6" s="1947"/>
    </row>
    <row r="7" spans="1:24" s="1628" customFormat="1" ht="22.15" customHeight="1">
      <c r="A7" s="1939"/>
      <c r="B7" s="1939"/>
      <c r="C7" s="1939"/>
      <c r="D7" s="1631" t="s">
        <v>1272</v>
      </c>
      <c r="E7" s="1631" t="s">
        <v>446</v>
      </c>
      <c r="F7" s="1631" t="s">
        <v>1272</v>
      </c>
      <c r="G7" s="1631" t="s">
        <v>446</v>
      </c>
      <c r="H7" s="1631" t="s">
        <v>1272</v>
      </c>
      <c r="I7" s="1631" t="s">
        <v>446</v>
      </c>
      <c r="J7" s="1939"/>
      <c r="K7" s="1631" t="s">
        <v>1272</v>
      </c>
      <c r="L7" s="1631" t="s">
        <v>446</v>
      </c>
      <c r="M7" s="1631" t="s">
        <v>1272</v>
      </c>
      <c r="N7" s="1631" t="s">
        <v>446</v>
      </c>
      <c r="O7" s="1939"/>
      <c r="P7" s="1631" t="s">
        <v>1272</v>
      </c>
      <c r="Q7" s="1631" t="s">
        <v>446</v>
      </c>
      <c r="R7" s="1630" t="s">
        <v>1269</v>
      </c>
      <c r="S7" s="1630" t="s">
        <v>510</v>
      </c>
      <c r="T7" s="1630" t="s">
        <v>1273</v>
      </c>
      <c r="U7" s="1630" t="s">
        <v>1269</v>
      </c>
      <c r="V7" s="1630" t="s">
        <v>510</v>
      </c>
      <c r="W7" s="1630" t="s">
        <v>1273</v>
      </c>
      <c r="X7" s="1939"/>
    </row>
    <row r="8" spans="1:24" s="1633" customFormat="1" ht="70.5" customHeight="1">
      <c r="A8" s="1632" t="s">
        <v>294</v>
      </c>
      <c r="B8" s="1632" t="s">
        <v>295</v>
      </c>
      <c r="C8" s="1632"/>
      <c r="D8" s="1632"/>
      <c r="E8" s="1632"/>
      <c r="F8" s="1632"/>
      <c r="G8" s="1632"/>
      <c r="H8" s="1632"/>
      <c r="I8" s="1632"/>
      <c r="J8" s="1632"/>
      <c r="K8" s="1632"/>
      <c r="L8" s="1632"/>
      <c r="M8" s="1632"/>
      <c r="N8" s="1632"/>
      <c r="O8" s="1632"/>
      <c r="P8" s="1632"/>
      <c r="Q8" s="1632"/>
      <c r="R8" s="1632"/>
      <c r="S8" s="1632"/>
      <c r="T8" s="1632"/>
      <c r="U8" s="1632"/>
      <c r="V8" s="1632"/>
      <c r="W8" s="1632"/>
      <c r="X8" s="1632"/>
    </row>
    <row r="9" spans="1:24" s="1636" customFormat="1" ht="31.5" customHeight="1">
      <c r="A9" s="1634"/>
      <c r="B9" s="1634" t="s">
        <v>594</v>
      </c>
      <c r="C9" s="1634"/>
      <c r="D9" s="1634"/>
      <c r="E9" s="1634"/>
      <c r="F9" s="1634"/>
      <c r="G9" s="1634"/>
      <c r="H9" s="1634"/>
      <c r="I9" s="1634"/>
      <c r="J9" s="1634"/>
      <c r="K9" s="1634"/>
      <c r="L9" s="1634"/>
      <c r="M9" s="1634"/>
      <c r="N9" s="1634"/>
      <c r="O9" s="1635">
        <f>+P9+Q9</f>
        <v>7524422.4069999997</v>
      </c>
      <c r="P9" s="1635">
        <f>+P10+P14+P15+P18+P27+P33+P34+P37</f>
        <v>2519544.2000000002</v>
      </c>
      <c r="Q9" s="1635">
        <f>+Q10+Q14+Q15+Q18+Q27+Q33+Q34+Q37</f>
        <v>5004878.2069999995</v>
      </c>
      <c r="R9" s="1634"/>
      <c r="S9" s="1634"/>
      <c r="T9" s="1634"/>
      <c r="U9" s="1634"/>
      <c r="V9" s="1634"/>
      <c r="W9" s="1634"/>
      <c r="X9" s="1634"/>
    </row>
    <row r="10" spans="1:24" s="1144" customFormat="1" ht="120">
      <c r="A10" s="1637">
        <v>1</v>
      </c>
      <c r="B10" s="1638" t="s">
        <v>1274</v>
      </c>
      <c r="C10" s="1638"/>
      <c r="D10" s="1639"/>
      <c r="E10" s="1639"/>
      <c r="F10" s="1639"/>
      <c r="G10" s="1640"/>
      <c r="H10" s="1640"/>
      <c r="I10" s="1640"/>
      <c r="J10" s="1640"/>
      <c r="K10" s="1640"/>
      <c r="L10" s="1640"/>
      <c r="M10" s="1640"/>
      <c r="N10" s="1640"/>
      <c r="O10" s="1640"/>
      <c r="P10" s="1640"/>
      <c r="Q10" s="1640"/>
      <c r="R10" s="1640"/>
      <c r="S10" s="1640"/>
      <c r="T10" s="1640"/>
      <c r="U10" s="1640"/>
      <c r="V10" s="1640"/>
      <c r="W10" s="1640"/>
      <c r="X10" s="1637"/>
    </row>
    <row r="11" spans="1:24" s="1155" customFormat="1">
      <c r="A11" s="1641"/>
      <c r="B11" s="1642" t="s">
        <v>233</v>
      </c>
      <c r="C11" s="1642"/>
      <c r="D11" s="1643"/>
      <c r="E11" s="1643"/>
      <c r="F11" s="1643"/>
      <c r="G11" s="1644"/>
      <c r="H11" s="1644"/>
      <c r="I11" s="1644"/>
      <c r="J11" s="1644"/>
      <c r="K11" s="1644"/>
      <c r="L11" s="1644"/>
      <c r="M11" s="1644"/>
      <c r="N11" s="1644"/>
      <c r="O11" s="1644"/>
      <c r="P11" s="1644"/>
      <c r="Q11" s="1644"/>
      <c r="R11" s="1644"/>
      <c r="S11" s="1644"/>
      <c r="T11" s="1644"/>
      <c r="U11" s="1644"/>
      <c r="V11" s="1644"/>
      <c r="W11" s="1644"/>
      <c r="X11" s="1641"/>
    </row>
    <row r="12" spans="1:24" s="1155" customFormat="1" ht="24">
      <c r="A12" s="1641" t="s">
        <v>298</v>
      </c>
      <c r="B12" s="1642" t="s">
        <v>1275</v>
      </c>
      <c r="C12" s="1642"/>
      <c r="D12" s="1643"/>
      <c r="E12" s="1643"/>
      <c r="F12" s="1643"/>
      <c r="G12" s="1644"/>
      <c r="H12" s="1644"/>
      <c r="I12" s="1644"/>
      <c r="J12" s="1644"/>
      <c r="K12" s="1644"/>
      <c r="L12" s="1644"/>
      <c r="M12" s="1644"/>
      <c r="N12" s="1644"/>
      <c r="O12" s="1644"/>
      <c r="P12" s="1644"/>
      <c r="Q12" s="1644"/>
      <c r="R12" s="1644"/>
      <c r="S12" s="1644"/>
      <c r="T12" s="1644"/>
      <c r="U12" s="1644"/>
      <c r="V12" s="1644"/>
      <c r="W12" s="1644"/>
      <c r="X12" s="1641"/>
    </row>
    <row r="13" spans="1:24" s="1155" customFormat="1" ht="48">
      <c r="A13" s="1641" t="s">
        <v>225</v>
      </c>
      <c r="B13" s="1642" t="s">
        <v>1276</v>
      </c>
      <c r="C13" s="1642"/>
      <c r="D13" s="1643"/>
      <c r="E13" s="1643"/>
      <c r="F13" s="1643"/>
      <c r="G13" s="1644"/>
      <c r="H13" s="1644"/>
      <c r="I13" s="1644"/>
      <c r="J13" s="1644"/>
      <c r="K13" s="1644"/>
      <c r="L13" s="1644"/>
      <c r="M13" s="1644"/>
      <c r="N13" s="1644"/>
      <c r="O13" s="1644"/>
      <c r="P13" s="1644"/>
      <c r="Q13" s="1644"/>
      <c r="R13" s="1644"/>
      <c r="S13" s="1644"/>
      <c r="T13" s="1644"/>
      <c r="U13" s="1644"/>
      <c r="V13" s="1644"/>
      <c r="W13" s="1644"/>
      <c r="X13" s="1641"/>
    </row>
    <row r="14" spans="1:24" s="1144" customFormat="1" ht="60">
      <c r="A14" s="1637">
        <v>2</v>
      </c>
      <c r="B14" s="1638" t="s">
        <v>1277</v>
      </c>
      <c r="C14" s="1638"/>
      <c r="D14" s="1639"/>
      <c r="E14" s="1639"/>
      <c r="F14" s="1639"/>
      <c r="G14" s="1640"/>
      <c r="H14" s="1640"/>
      <c r="I14" s="1640"/>
      <c r="J14" s="1640"/>
      <c r="K14" s="1640"/>
      <c r="L14" s="1640"/>
      <c r="M14" s="1640"/>
      <c r="N14" s="1640"/>
      <c r="O14" s="1640"/>
      <c r="P14" s="1640"/>
      <c r="Q14" s="1640"/>
      <c r="R14" s="1640"/>
      <c r="S14" s="1640"/>
      <c r="T14" s="1640"/>
      <c r="U14" s="1640"/>
      <c r="V14" s="1640"/>
      <c r="W14" s="1640"/>
      <c r="X14" s="1637"/>
    </row>
    <row r="15" spans="1:24" s="1144" customFormat="1" ht="48">
      <c r="A15" s="1637">
        <v>3</v>
      </c>
      <c r="B15" s="1638" t="s">
        <v>1278</v>
      </c>
      <c r="C15" s="1638"/>
      <c r="D15" s="1639"/>
      <c r="E15" s="1639"/>
      <c r="F15" s="1639"/>
      <c r="G15" s="1640"/>
      <c r="H15" s="1640"/>
      <c r="I15" s="1640">
        <f>+I17</f>
        <v>1204511.496</v>
      </c>
      <c r="J15" s="1640">
        <f t="shared" ref="J15:P15" si="0">+J17</f>
        <v>0</v>
      </c>
      <c r="K15" s="1640"/>
      <c r="L15" s="1640"/>
      <c r="M15" s="1640">
        <f t="shared" si="0"/>
        <v>0</v>
      </c>
      <c r="N15" s="1640">
        <f t="shared" si="0"/>
        <v>0</v>
      </c>
      <c r="O15" s="1672">
        <f>+P15+Q15</f>
        <v>592341.98100000003</v>
      </c>
      <c r="P15" s="1645">
        <f t="shared" si="0"/>
        <v>0</v>
      </c>
      <c r="Q15" s="1645">
        <v>592341.98100000003</v>
      </c>
      <c r="R15" s="1640"/>
      <c r="S15" s="1640"/>
      <c r="T15" s="1645">
        <f>+Q15-I15</f>
        <v>-612169.51500000001</v>
      </c>
      <c r="U15" s="1645"/>
      <c r="V15" s="1645"/>
      <c r="W15" s="1646">
        <f>+Q15/I15</f>
        <v>0.49176947083284628</v>
      </c>
      <c r="X15" s="1637"/>
    </row>
    <row r="16" spans="1:24" s="1155" customFormat="1">
      <c r="A16" s="1641"/>
      <c r="B16" s="1642" t="s">
        <v>233</v>
      </c>
      <c r="C16" s="1642"/>
      <c r="D16" s="1643"/>
      <c r="E16" s="1643"/>
      <c r="F16" s="1643"/>
      <c r="G16" s="1644"/>
      <c r="H16" s="1644"/>
      <c r="I16" s="1644"/>
      <c r="J16" s="1644"/>
      <c r="K16" s="1644"/>
      <c r="L16" s="1644"/>
      <c r="M16" s="1644"/>
      <c r="N16" s="1644"/>
      <c r="O16" s="1643"/>
      <c r="P16" s="1644"/>
      <c r="Q16" s="1647"/>
      <c r="R16" s="1644"/>
      <c r="S16" s="1644"/>
      <c r="T16" s="1647"/>
      <c r="U16" s="1647"/>
      <c r="V16" s="1647"/>
      <c r="W16" s="1648"/>
      <c r="X16" s="1641"/>
    </row>
    <row r="17" spans="1:24" s="1149" customFormat="1">
      <c r="A17" s="1649"/>
      <c r="B17" s="1650" t="s">
        <v>1279</v>
      </c>
      <c r="C17" s="1650"/>
      <c r="D17" s="1651"/>
      <c r="E17" s="1651"/>
      <c r="F17" s="1651"/>
      <c r="G17" s="1652"/>
      <c r="H17" s="1652"/>
      <c r="I17" s="1652">
        <v>1204511.496</v>
      </c>
      <c r="J17" s="1652"/>
      <c r="K17" s="1652"/>
      <c r="L17" s="1652"/>
      <c r="M17" s="1652"/>
      <c r="N17" s="1652"/>
      <c r="O17" s="1651">
        <f>+P17+Q17</f>
        <v>592341.98100000003</v>
      </c>
      <c r="P17" s="1652"/>
      <c r="Q17" s="1653">
        <v>592341.98100000003</v>
      </c>
      <c r="R17" s="1652"/>
      <c r="S17" s="1652"/>
      <c r="T17" s="1653">
        <f>+Q17-I17</f>
        <v>-612169.51500000001</v>
      </c>
      <c r="U17" s="1653"/>
      <c r="V17" s="1653"/>
      <c r="W17" s="1648">
        <f t="shared" ref="W17:W26" si="1">+Q17/I17</f>
        <v>0.49176947083284628</v>
      </c>
      <c r="X17" s="1649"/>
    </row>
    <row r="18" spans="1:24" s="1144" customFormat="1" ht="72">
      <c r="A18" s="1637">
        <v>4</v>
      </c>
      <c r="B18" s="1638" t="s">
        <v>1280</v>
      </c>
      <c r="C18" s="1638"/>
      <c r="D18" s="1639"/>
      <c r="E18" s="1639"/>
      <c r="F18" s="1639"/>
      <c r="G18" s="1640"/>
      <c r="H18" s="1640"/>
      <c r="I18" s="1640">
        <f>+I20+I21+I22+I25+I26</f>
        <v>800996.13299999991</v>
      </c>
      <c r="J18" s="1640">
        <f t="shared" ref="J18:Q18" si="2">+J20+J21+J22+J25+J26</f>
        <v>0</v>
      </c>
      <c r="K18" s="1640">
        <f t="shared" si="2"/>
        <v>0</v>
      </c>
      <c r="L18" s="1640">
        <f t="shared" si="2"/>
        <v>0</v>
      </c>
      <c r="M18" s="1640">
        <f t="shared" si="2"/>
        <v>0</v>
      </c>
      <c r="N18" s="1640">
        <f t="shared" si="2"/>
        <v>0</v>
      </c>
      <c r="O18" s="1672">
        <f>+P18+Q18</f>
        <v>600375.06099999999</v>
      </c>
      <c r="P18" s="1639">
        <f t="shared" si="2"/>
        <v>0</v>
      </c>
      <c r="Q18" s="1639">
        <f t="shared" si="2"/>
        <v>600375.06099999999</v>
      </c>
      <c r="R18" s="1640"/>
      <c r="S18" s="1640"/>
      <c r="T18" s="1645">
        <f>+Q18-I18</f>
        <v>-200621.07199999993</v>
      </c>
      <c r="U18" s="1645"/>
      <c r="V18" s="1645"/>
      <c r="W18" s="1646">
        <f t="shared" si="1"/>
        <v>0.74953552990498651</v>
      </c>
      <c r="X18" s="1637"/>
    </row>
    <row r="19" spans="1:24" s="1155" customFormat="1">
      <c r="A19" s="1641"/>
      <c r="B19" s="1642" t="s">
        <v>233</v>
      </c>
      <c r="C19" s="1642"/>
      <c r="D19" s="1643"/>
      <c r="E19" s="1643"/>
      <c r="F19" s="1643"/>
      <c r="G19" s="1644"/>
      <c r="H19" s="1644"/>
      <c r="I19" s="1644"/>
      <c r="J19" s="1644"/>
      <c r="K19" s="1644"/>
      <c r="L19" s="1644"/>
      <c r="M19" s="1644"/>
      <c r="N19" s="1644"/>
      <c r="O19" s="1643"/>
      <c r="P19" s="1644"/>
      <c r="Q19" s="1644"/>
      <c r="R19" s="1644"/>
      <c r="S19" s="1644"/>
      <c r="T19" s="1647"/>
      <c r="U19" s="1647"/>
      <c r="V19" s="1647"/>
      <c r="W19" s="1648"/>
      <c r="X19" s="1641"/>
    </row>
    <row r="20" spans="1:24" s="1155" customFormat="1">
      <c r="A20" s="1641"/>
      <c r="B20" s="1642" t="s">
        <v>1281</v>
      </c>
      <c r="C20" s="1642"/>
      <c r="D20" s="1643"/>
      <c r="E20" s="1643"/>
      <c r="F20" s="1643"/>
      <c r="G20" s="1644"/>
      <c r="H20" s="1644"/>
      <c r="I20" s="1647">
        <v>216283.72499999998</v>
      </c>
      <c r="J20" s="1644"/>
      <c r="K20" s="1644"/>
      <c r="L20" s="1644"/>
      <c r="M20" s="1644"/>
      <c r="N20" s="1644"/>
      <c r="O20" s="1643"/>
      <c r="P20" s="1644"/>
      <c r="Q20" s="1644"/>
      <c r="R20" s="1644"/>
      <c r="S20" s="1644"/>
      <c r="T20" s="1647">
        <f t="shared" ref="T20:T27" si="3">+Q20-I20</f>
        <v>-216283.72499999998</v>
      </c>
      <c r="U20" s="1647"/>
      <c r="V20" s="1647"/>
      <c r="W20" s="1648">
        <f t="shared" si="1"/>
        <v>0</v>
      </c>
      <c r="X20" s="1641"/>
    </row>
    <row r="21" spans="1:24" s="1155" customFormat="1">
      <c r="A21" s="1641"/>
      <c r="B21" s="1642" t="s">
        <v>1139</v>
      </c>
      <c r="C21" s="1642"/>
      <c r="D21" s="1643"/>
      <c r="E21" s="1643"/>
      <c r="F21" s="1643"/>
      <c r="G21" s="1644"/>
      <c r="H21" s="1644"/>
      <c r="I21" s="1647">
        <v>3930.587</v>
      </c>
      <c r="J21" s="1644"/>
      <c r="K21" s="1644"/>
      <c r="L21" s="1644"/>
      <c r="M21" s="1644"/>
      <c r="N21" s="1644"/>
      <c r="O21" s="1643"/>
      <c r="P21" s="1644"/>
      <c r="Q21" s="1644"/>
      <c r="R21" s="1644"/>
      <c r="S21" s="1644"/>
      <c r="T21" s="1647">
        <f t="shared" si="3"/>
        <v>-3930.587</v>
      </c>
      <c r="U21" s="1647"/>
      <c r="V21" s="1647"/>
      <c r="W21" s="1648">
        <f t="shared" si="1"/>
        <v>0</v>
      </c>
      <c r="X21" s="1641"/>
    </row>
    <row r="22" spans="1:24" s="1155" customFormat="1">
      <c r="A22" s="1641"/>
      <c r="B22" s="1642" t="s">
        <v>1136</v>
      </c>
      <c r="C22" s="1642"/>
      <c r="D22" s="1643"/>
      <c r="E22" s="1643"/>
      <c r="F22" s="1643"/>
      <c r="G22" s="1644"/>
      <c r="H22" s="1644"/>
      <c r="I22" s="1647">
        <v>457146.54700000002</v>
      </c>
      <c r="J22" s="1644"/>
      <c r="K22" s="1644"/>
      <c r="L22" s="1644"/>
      <c r="M22" s="1644"/>
      <c r="N22" s="1644"/>
      <c r="O22" s="1643">
        <f>+P22+Q22</f>
        <v>600375.06099999999</v>
      </c>
      <c r="P22" s="1644"/>
      <c r="Q22" s="1647">
        <f>+Q24</f>
        <v>600375.06099999999</v>
      </c>
      <c r="R22" s="1644"/>
      <c r="S22" s="1644"/>
      <c r="T22" s="1647">
        <f t="shared" si="3"/>
        <v>143228.51399999997</v>
      </c>
      <c r="U22" s="1647"/>
      <c r="V22" s="1647"/>
      <c r="W22" s="1648">
        <f t="shared" si="1"/>
        <v>1.3133098454750003</v>
      </c>
      <c r="X22" s="1641"/>
    </row>
    <row r="23" spans="1:24" s="1149" customFormat="1">
      <c r="A23" s="1649"/>
      <c r="B23" s="1650" t="s">
        <v>1282</v>
      </c>
      <c r="C23" s="1650"/>
      <c r="D23" s="1651"/>
      <c r="E23" s="1651"/>
      <c r="F23" s="1651"/>
      <c r="G23" s="1652"/>
      <c r="H23" s="1652"/>
      <c r="I23" s="1653"/>
      <c r="J23" s="1652"/>
      <c r="K23" s="1652"/>
      <c r="L23" s="1652"/>
      <c r="M23" s="1652"/>
      <c r="N23" s="1652"/>
      <c r="O23" s="1651"/>
      <c r="P23" s="1652"/>
      <c r="Q23" s="1652"/>
      <c r="R23" s="1652"/>
      <c r="S23" s="1652"/>
      <c r="T23" s="1647"/>
      <c r="U23" s="1647"/>
      <c r="V23" s="1647"/>
      <c r="W23" s="1648"/>
      <c r="X23" s="1649"/>
    </row>
    <row r="24" spans="1:24" s="1149" customFormat="1">
      <c r="A24" s="1649"/>
      <c r="B24" s="1650" t="s">
        <v>1283</v>
      </c>
      <c r="C24" s="1650"/>
      <c r="D24" s="1651"/>
      <c r="E24" s="1651"/>
      <c r="F24" s="1651"/>
      <c r="G24" s="1652"/>
      <c r="H24" s="1652"/>
      <c r="I24" s="1653">
        <v>457146.54700000002</v>
      </c>
      <c r="J24" s="1652"/>
      <c r="K24" s="1652"/>
      <c r="L24" s="1652"/>
      <c r="M24" s="1652"/>
      <c r="N24" s="1652"/>
      <c r="O24" s="1651">
        <f>+P24+Q24</f>
        <v>600375.06099999999</v>
      </c>
      <c r="P24" s="1652"/>
      <c r="Q24" s="1653">
        <v>600375.06099999999</v>
      </c>
      <c r="R24" s="1652"/>
      <c r="S24" s="1652"/>
      <c r="T24" s="1647">
        <f t="shared" si="3"/>
        <v>143228.51399999997</v>
      </c>
      <c r="U24" s="1647"/>
      <c r="V24" s="1647"/>
      <c r="W24" s="1648">
        <f t="shared" si="1"/>
        <v>1.3133098454750003</v>
      </c>
      <c r="X24" s="1649"/>
    </row>
    <row r="25" spans="1:24" s="1155" customFormat="1">
      <c r="A25" s="1641"/>
      <c r="B25" s="1642" t="s">
        <v>1284</v>
      </c>
      <c r="C25" s="1642"/>
      <c r="D25" s="1643"/>
      <c r="E25" s="1643"/>
      <c r="F25" s="1643"/>
      <c r="G25" s="1644"/>
      <c r="H25" s="1644"/>
      <c r="I25" s="1647">
        <v>97899.797999999995</v>
      </c>
      <c r="J25" s="1644"/>
      <c r="K25" s="1644"/>
      <c r="L25" s="1644"/>
      <c r="M25" s="1644"/>
      <c r="N25" s="1644"/>
      <c r="O25" s="1643"/>
      <c r="P25" s="1644"/>
      <c r="Q25" s="1644"/>
      <c r="R25" s="1644"/>
      <c r="S25" s="1644"/>
      <c r="T25" s="1647">
        <f t="shared" si="3"/>
        <v>-97899.797999999995</v>
      </c>
      <c r="U25" s="1647"/>
      <c r="V25" s="1647"/>
      <c r="W25" s="1648">
        <f t="shared" si="1"/>
        <v>0</v>
      </c>
      <c r="X25" s="1641"/>
    </row>
    <row r="26" spans="1:24" s="1155" customFormat="1">
      <c r="A26" s="1641"/>
      <c r="B26" s="1642" t="s">
        <v>1138</v>
      </c>
      <c r="C26" s="1642"/>
      <c r="D26" s="1643"/>
      <c r="E26" s="1643"/>
      <c r="F26" s="1643"/>
      <c r="G26" s="1644"/>
      <c r="H26" s="1644"/>
      <c r="I26" s="1647">
        <v>25735.475999999999</v>
      </c>
      <c r="J26" s="1644"/>
      <c r="K26" s="1644"/>
      <c r="L26" s="1644"/>
      <c r="M26" s="1644"/>
      <c r="N26" s="1644"/>
      <c r="O26" s="1643"/>
      <c r="P26" s="1644"/>
      <c r="Q26" s="1644"/>
      <c r="R26" s="1644"/>
      <c r="S26" s="1644"/>
      <c r="T26" s="1647">
        <f t="shared" si="3"/>
        <v>-25735.475999999999</v>
      </c>
      <c r="U26" s="1647"/>
      <c r="V26" s="1647"/>
      <c r="W26" s="1648">
        <f t="shared" si="1"/>
        <v>0</v>
      </c>
      <c r="X26" s="1641"/>
    </row>
    <row r="27" spans="1:24" s="1144" customFormat="1" ht="84">
      <c r="A27" s="1637">
        <v>5</v>
      </c>
      <c r="B27" s="1638" t="s">
        <v>1285</v>
      </c>
      <c r="C27" s="1638"/>
      <c r="D27" s="1639"/>
      <c r="E27" s="1639"/>
      <c r="F27" s="1639"/>
      <c r="G27" s="1640"/>
      <c r="H27" s="1640"/>
      <c r="I27" s="1640">
        <v>400000</v>
      </c>
      <c r="J27" s="1640"/>
      <c r="K27" s="1640"/>
      <c r="L27" s="1640"/>
      <c r="M27" s="1640"/>
      <c r="N27" s="1640"/>
      <c r="O27" s="1639">
        <f>+P27+Q27</f>
        <v>3390000</v>
      </c>
      <c r="P27" s="1640"/>
      <c r="Q27" s="1640">
        <f>+Q29+Q31+Q32</f>
        <v>3390000</v>
      </c>
      <c r="R27" s="1640"/>
      <c r="S27" s="1640"/>
      <c r="T27" s="1640">
        <f t="shared" si="3"/>
        <v>2990000</v>
      </c>
      <c r="U27" s="1640"/>
      <c r="V27" s="1640"/>
      <c r="W27" s="1646">
        <f>+Q27/I27</f>
        <v>8.4749999999999996</v>
      </c>
      <c r="X27" s="1637"/>
    </row>
    <row r="28" spans="1:24" s="1155" customFormat="1">
      <c r="A28" s="1641"/>
      <c r="B28" s="1642" t="s">
        <v>233</v>
      </c>
      <c r="C28" s="1642"/>
      <c r="D28" s="1643"/>
      <c r="E28" s="1643"/>
      <c r="F28" s="1643"/>
      <c r="G28" s="1644"/>
      <c r="H28" s="1644"/>
      <c r="I28" s="1644"/>
      <c r="J28" s="1644"/>
      <c r="K28" s="1644"/>
      <c r="L28" s="1644"/>
      <c r="M28" s="1644"/>
      <c r="N28" s="1644"/>
      <c r="O28" s="1643"/>
      <c r="P28" s="1644"/>
      <c r="Q28" s="1644"/>
      <c r="R28" s="1644"/>
      <c r="S28" s="1644"/>
      <c r="T28" s="1644"/>
      <c r="U28" s="1644"/>
      <c r="V28" s="1644"/>
      <c r="W28" s="1644"/>
      <c r="X28" s="1641"/>
    </row>
    <row r="29" spans="1:24" s="1155" customFormat="1" ht="48">
      <c r="A29" s="1641"/>
      <c r="B29" s="1642" t="s">
        <v>1286</v>
      </c>
      <c r="C29" s="1642"/>
      <c r="D29" s="1643"/>
      <c r="E29" s="1643"/>
      <c r="F29" s="1643"/>
      <c r="G29" s="1644"/>
      <c r="H29" s="1644"/>
      <c r="I29" s="1647"/>
      <c r="J29" s="1644"/>
      <c r="K29" s="1644"/>
      <c r="L29" s="1644"/>
      <c r="M29" s="1644"/>
      <c r="N29" s="1644"/>
      <c r="O29" s="1643">
        <f>+P29+Q29</f>
        <v>90000</v>
      </c>
      <c r="P29" s="1644"/>
      <c r="Q29" s="1647">
        <v>90000</v>
      </c>
      <c r="R29" s="1644"/>
      <c r="S29" s="1644"/>
      <c r="T29" s="1644"/>
      <c r="U29" s="1644"/>
      <c r="V29" s="1644"/>
      <c r="W29" s="1644"/>
      <c r="X29" s="1641" t="s">
        <v>1287</v>
      </c>
    </row>
    <row r="30" spans="1:24" s="1149" customFormat="1" ht="24">
      <c r="A30" s="1649"/>
      <c r="B30" s="1650" t="s">
        <v>1288</v>
      </c>
      <c r="C30" s="1650"/>
      <c r="D30" s="1651"/>
      <c r="E30" s="1651"/>
      <c r="F30" s="1651"/>
      <c r="G30" s="1652"/>
      <c r="H30" s="1652"/>
      <c r="I30" s="1653"/>
      <c r="J30" s="1652"/>
      <c r="K30" s="1652"/>
      <c r="L30" s="1652"/>
      <c r="M30" s="1652"/>
      <c r="N30" s="1652"/>
      <c r="O30" s="1651">
        <f>+P30+Q30</f>
        <v>90000</v>
      </c>
      <c r="P30" s="1652"/>
      <c r="Q30" s="1653">
        <v>90000</v>
      </c>
      <c r="R30" s="1652"/>
      <c r="S30" s="1652"/>
      <c r="T30" s="1652"/>
      <c r="U30" s="1652"/>
      <c r="V30" s="1652"/>
      <c r="W30" s="1652"/>
      <c r="X30" s="1649"/>
    </row>
    <row r="31" spans="1:24" s="1155" customFormat="1" ht="72">
      <c r="A31" s="1641"/>
      <c r="B31" s="1642" t="s">
        <v>1289</v>
      </c>
      <c r="C31" s="1642"/>
      <c r="D31" s="1643"/>
      <c r="E31" s="1643"/>
      <c r="F31" s="1643"/>
      <c r="G31" s="1644"/>
      <c r="H31" s="1644"/>
      <c r="I31" s="1647"/>
      <c r="J31" s="1644"/>
      <c r="K31" s="1644"/>
      <c r="L31" s="1644"/>
      <c r="M31" s="1644"/>
      <c r="N31" s="1644"/>
      <c r="O31" s="1643">
        <f>+P31+Q31</f>
        <v>2000000</v>
      </c>
      <c r="P31" s="1644"/>
      <c r="Q31" s="1647">
        <v>2000000</v>
      </c>
      <c r="R31" s="1644"/>
      <c r="S31" s="1644"/>
      <c r="T31" s="1644"/>
      <c r="U31" s="1644"/>
      <c r="V31" s="1644"/>
      <c r="W31" s="1644"/>
      <c r="X31" s="1641" t="s">
        <v>1290</v>
      </c>
    </row>
    <row r="32" spans="1:24" s="1155" customFormat="1" ht="48">
      <c r="A32" s="1641"/>
      <c r="B32" s="1642" t="s">
        <v>1291</v>
      </c>
      <c r="C32" s="1642"/>
      <c r="D32" s="1643"/>
      <c r="E32" s="1643"/>
      <c r="F32" s="1643"/>
      <c r="G32" s="1644"/>
      <c r="H32" s="1644"/>
      <c r="I32" s="1647"/>
      <c r="J32" s="1644"/>
      <c r="K32" s="1644"/>
      <c r="L32" s="1644"/>
      <c r="M32" s="1644"/>
      <c r="N32" s="1644"/>
      <c r="O32" s="1643">
        <f>+P32+Q32</f>
        <v>1300000</v>
      </c>
      <c r="P32" s="1644"/>
      <c r="Q32" s="1647">
        <v>1300000</v>
      </c>
      <c r="R32" s="1644"/>
      <c r="S32" s="1644"/>
      <c r="T32" s="1644"/>
      <c r="U32" s="1644"/>
      <c r="V32" s="1644"/>
      <c r="W32" s="1644"/>
      <c r="X32" s="1641" t="s">
        <v>1292</v>
      </c>
    </row>
    <row r="33" spans="1:24" s="1144" customFormat="1" ht="60">
      <c r="A33" s="1637">
        <v>6</v>
      </c>
      <c r="B33" s="1638" t="s">
        <v>1293</v>
      </c>
      <c r="C33" s="1638"/>
      <c r="D33" s="1639"/>
      <c r="E33" s="1639"/>
      <c r="F33" s="1639"/>
      <c r="G33" s="1640"/>
      <c r="H33" s="1640"/>
      <c r="I33" s="1640"/>
      <c r="J33" s="1640"/>
      <c r="K33" s="1640"/>
      <c r="L33" s="1640"/>
      <c r="M33" s="1640"/>
      <c r="N33" s="1640"/>
      <c r="O33" s="1639"/>
      <c r="P33" s="1640"/>
      <c r="Q33" s="1640"/>
      <c r="R33" s="1640"/>
      <c r="S33" s="1640"/>
      <c r="T33" s="1640"/>
      <c r="U33" s="1640"/>
      <c r="V33" s="1640"/>
      <c r="W33" s="1640"/>
      <c r="X33" s="1637"/>
    </row>
    <row r="34" spans="1:24" s="1144" customFormat="1" ht="84">
      <c r="A34" s="1637">
        <v>7</v>
      </c>
      <c r="B34" s="1638" t="s">
        <v>1294</v>
      </c>
      <c r="C34" s="1638"/>
      <c r="D34" s="1639"/>
      <c r="E34" s="1639"/>
      <c r="F34" s="1639"/>
      <c r="G34" s="1640"/>
      <c r="H34" s="1645">
        <v>3867549.5619999999</v>
      </c>
      <c r="I34" s="1645">
        <v>300000</v>
      </c>
      <c r="J34" s="1645"/>
      <c r="K34" s="1645"/>
      <c r="L34" s="1645"/>
      <c r="M34" s="1645"/>
      <c r="N34" s="1645"/>
      <c r="O34" s="1639">
        <f>+P34+Q34</f>
        <v>2100000</v>
      </c>
      <c r="P34" s="1645">
        <f>+P36</f>
        <v>2100000</v>
      </c>
      <c r="Q34" s="1645"/>
      <c r="R34" s="1645"/>
      <c r="S34" s="1645"/>
      <c r="T34" s="1640">
        <f>+Q34+P34-I34-H34</f>
        <v>-2067549.5619999999</v>
      </c>
      <c r="U34" s="1640"/>
      <c r="V34" s="1640"/>
      <c r="W34" s="1646">
        <f>+(Q34+P34)/(H34+I34)</f>
        <v>0.50389322760500388</v>
      </c>
      <c r="X34" s="1637"/>
    </row>
    <row r="35" spans="1:24" s="1155" customFormat="1">
      <c r="A35" s="1641"/>
      <c r="B35" s="1642" t="s">
        <v>233</v>
      </c>
      <c r="C35" s="1642"/>
      <c r="D35" s="1643"/>
      <c r="E35" s="1643"/>
      <c r="F35" s="1643"/>
      <c r="G35" s="1644"/>
      <c r="H35" s="1644"/>
      <c r="I35" s="1644"/>
      <c r="J35" s="1644"/>
      <c r="K35" s="1644"/>
      <c r="L35" s="1644"/>
      <c r="M35" s="1644"/>
      <c r="N35" s="1644"/>
      <c r="O35" s="1643"/>
      <c r="P35" s="1644"/>
      <c r="Q35" s="1644"/>
      <c r="R35" s="1644"/>
      <c r="S35" s="1644"/>
      <c r="T35" s="1644"/>
      <c r="U35" s="1644"/>
      <c r="V35" s="1644"/>
      <c r="W35" s="1648"/>
      <c r="X35" s="1641"/>
    </row>
    <row r="36" spans="1:24" s="1155" customFormat="1" ht="24">
      <c r="A36" s="1641"/>
      <c r="B36" s="1155" t="s">
        <v>1295</v>
      </c>
      <c r="C36" s="1642"/>
      <c r="D36" s="1643"/>
      <c r="E36" s="1643"/>
      <c r="F36" s="1643"/>
      <c r="G36" s="1644"/>
      <c r="H36" s="1647">
        <v>3867549.5619999999</v>
      </c>
      <c r="I36" s="1644"/>
      <c r="J36" s="1644"/>
      <c r="K36" s="1644"/>
      <c r="L36" s="1644"/>
      <c r="M36" s="1644"/>
      <c r="N36" s="1644"/>
      <c r="O36" s="1643">
        <f>+P36</f>
        <v>2100000</v>
      </c>
      <c r="P36" s="1644">
        <v>2100000</v>
      </c>
      <c r="Q36" s="1644"/>
      <c r="R36" s="1644"/>
      <c r="S36" s="1644"/>
      <c r="T36" s="1644">
        <f>+Q36+P36-I36-H36</f>
        <v>-1767549.5619999999</v>
      </c>
      <c r="U36" s="1644"/>
      <c r="V36" s="1644"/>
      <c r="W36" s="1648">
        <f>+(Q36+P36)/(H36+I36)</f>
        <v>0.54297946705925115</v>
      </c>
      <c r="X36" s="1641"/>
    </row>
    <row r="37" spans="1:24" s="1144" customFormat="1" ht="36">
      <c r="A37" s="1637">
        <v>8</v>
      </c>
      <c r="B37" s="1638" t="s">
        <v>1296</v>
      </c>
      <c r="C37" s="1638"/>
      <c r="D37" s="1639"/>
      <c r="E37" s="1639"/>
      <c r="F37" s="1639"/>
      <c r="G37" s="1640"/>
      <c r="H37" s="1645">
        <f>+H39+H71+H74</f>
        <v>2241706.1040000003</v>
      </c>
      <c r="I37" s="1645">
        <f>+I39+I71+I74</f>
        <v>3970939.3160000001</v>
      </c>
      <c r="J37" s="1640"/>
      <c r="K37" s="1640"/>
      <c r="L37" s="1640"/>
      <c r="M37" s="1640"/>
      <c r="N37" s="1640"/>
      <c r="O37" s="1639">
        <f>+P37+Q37</f>
        <v>841705.36499999999</v>
      </c>
      <c r="P37" s="1640">
        <f>+P39+P71+P74</f>
        <v>419544.2</v>
      </c>
      <c r="Q37" s="1640">
        <f>+Q39+Q71+Q74</f>
        <v>422161.16499999998</v>
      </c>
      <c r="R37" s="1640"/>
      <c r="S37" s="1640"/>
      <c r="T37" s="1640">
        <f>+Q37+P37-I37--H37</f>
        <v>-887527.84700000007</v>
      </c>
      <c r="U37" s="1640"/>
      <c r="V37" s="1640"/>
      <c r="W37" s="1654">
        <f>+(Q37+P37)/(I37+H37)</f>
        <v>0.1354826017094663</v>
      </c>
      <c r="X37" s="1934" t="s">
        <v>1297</v>
      </c>
    </row>
    <row r="38" spans="1:24" s="1155" customFormat="1">
      <c r="A38" s="1641"/>
      <c r="B38" s="1642" t="s">
        <v>233</v>
      </c>
      <c r="C38" s="1642"/>
      <c r="D38" s="1643"/>
      <c r="E38" s="1643"/>
      <c r="F38" s="1643"/>
      <c r="G38" s="1644"/>
      <c r="H38" s="1644"/>
      <c r="I38" s="1644"/>
      <c r="J38" s="1644"/>
      <c r="K38" s="1644"/>
      <c r="L38" s="1644"/>
      <c r="M38" s="1644"/>
      <c r="N38" s="1644"/>
      <c r="O38" s="1643"/>
      <c r="P38" s="1644"/>
      <c r="Q38" s="1644"/>
      <c r="R38" s="1644"/>
      <c r="S38" s="1644"/>
      <c r="T38" s="1644"/>
      <c r="U38" s="1644"/>
      <c r="V38" s="1644"/>
      <c r="W38" s="1644"/>
      <c r="X38" s="1935"/>
    </row>
    <row r="39" spans="1:24" s="1147" customFormat="1" ht="36">
      <c r="A39" s="1655" t="s">
        <v>1298</v>
      </c>
      <c r="B39" s="1656" t="s">
        <v>1299</v>
      </c>
      <c r="C39" s="1657"/>
      <c r="D39" s="1658"/>
      <c r="E39" s="1658"/>
      <c r="F39" s="1658"/>
      <c r="G39" s="1659"/>
      <c r="H39" s="1660">
        <v>1775606.1040000001</v>
      </c>
      <c r="I39" s="1660">
        <v>2968728.0690000001</v>
      </c>
      <c r="J39" s="1659"/>
      <c r="K39" s="1659"/>
      <c r="L39" s="1659"/>
      <c r="M39" s="1659"/>
      <c r="N39" s="1659"/>
      <c r="O39" s="1658">
        <f>+P39+Q39</f>
        <v>667632.62599999993</v>
      </c>
      <c r="P39" s="1660">
        <f>+P40+P43+P45+P50+P53+P55+P63</f>
        <v>321588.2</v>
      </c>
      <c r="Q39" s="1660">
        <f>+Q40+Q43+Q45+Q50+Q53+Q55+Q63</f>
        <v>346044.42599999998</v>
      </c>
      <c r="R39" s="1659"/>
      <c r="S39" s="1659"/>
      <c r="T39" s="1640">
        <f>+Q39+P39-I39--H39</f>
        <v>-525489.33899999992</v>
      </c>
      <c r="U39" s="1659"/>
      <c r="V39" s="1659"/>
      <c r="W39" s="1654">
        <f>+(Q39+P39)/(I39+H39)</f>
        <v>0.1407220911628646</v>
      </c>
      <c r="X39" s="1935"/>
    </row>
    <row r="40" spans="1:24" s="1155" customFormat="1" ht="36">
      <c r="A40" s="1661" t="s">
        <v>71</v>
      </c>
      <c r="B40" s="1178" t="s">
        <v>1300</v>
      </c>
      <c r="C40" s="1642"/>
      <c r="D40" s="1643"/>
      <c r="E40" s="1643"/>
      <c r="F40" s="1643"/>
      <c r="G40" s="1644"/>
      <c r="H40" s="1644"/>
      <c r="I40" s="1644"/>
      <c r="J40" s="1644"/>
      <c r="K40" s="1644"/>
      <c r="L40" s="1644"/>
      <c r="M40" s="1644"/>
      <c r="N40" s="1644"/>
      <c r="O40" s="1643">
        <f>+P40+Q40</f>
        <v>132000</v>
      </c>
      <c r="P40" s="1647">
        <v>132000</v>
      </c>
      <c r="Q40" s="1644"/>
      <c r="R40" s="1644"/>
      <c r="S40" s="1644"/>
      <c r="T40" s="1644"/>
      <c r="U40" s="1644"/>
      <c r="V40" s="1644"/>
      <c r="W40" s="1644"/>
      <c r="X40" s="1935"/>
    </row>
    <row r="41" spans="1:24" s="1149" customFormat="1">
      <c r="A41" s="1649"/>
      <c r="B41" s="1662" t="s">
        <v>1301</v>
      </c>
      <c r="C41" s="1650"/>
      <c r="D41" s="1651"/>
      <c r="E41" s="1651"/>
      <c r="F41" s="1651"/>
      <c r="G41" s="1652"/>
      <c r="H41" s="1652"/>
      <c r="I41" s="1652"/>
      <c r="J41" s="1652"/>
      <c r="K41" s="1652"/>
      <c r="L41" s="1652"/>
      <c r="M41" s="1652"/>
      <c r="N41" s="1652"/>
      <c r="O41" s="1651">
        <f t="shared" ref="O41:O42" si="4">+P41+Q41</f>
        <v>120000</v>
      </c>
      <c r="P41" s="1653">
        <v>120000</v>
      </c>
      <c r="Q41" s="1652"/>
      <c r="R41" s="1652"/>
      <c r="S41" s="1652"/>
      <c r="T41" s="1652"/>
      <c r="U41" s="1652"/>
      <c r="V41" s="1652"/>
      <c r="W41" s="1652"/>
      <c r="X41" s="1935"/>
    </row>
    <row r="42" spans="1:24" s="1149" customFormat="1">
      <c r="A42" s="1649"/>
      <c r="B42" s="1662" t="s">
        <v>805</v>
      </c>
      <c r="C42" s="1650"/>
      <c r="D42" s="1651"/>
      <c r="E42" s="1651"/>
      <c r="F42" s="1651"/>
      <c r="G42" s="1652"/>
      <c r="H42" s="1652"/>
      <c r="I42" s="1652"/>
      <c r="J42" s="1652"/>
      <c r="K42" s="1652"/>
      <c r="L42" s="1652"/>
      <c r="M42" s="1652"/>
      <c r="N42" s="1652"/>
      <c r="O42" s="1651">
        <f t="shared" si="4"/>
        <v>12000</v>
      </c>
      <c r="P42" s="1653">
        <v>12000</v>
      </c>
      <c r="Q42" s="1652"/>
      <c r="R42" s="1652"/>
      <c r="S42" s="1652"/>
      <c r="T42" s="1652"/>
      <c r="U42" s="1652"/>
      <c r="V42" s="1652"/>
      <c r="W42" s="1652"/>
      <c r="X42" s="1935"/>
    </row>
    <row r="43" spans="1:24" s="1155" customFormat="1" ht="24">
      <c r="A43" s="1661" t="s">
        <v>71</v>
      </c>
      <c r="B43" s="1663" t="s">
        <v>1302</v>
      </c>
      <c r="C43" s="1642"/>
      <c r="D43" s="1643"/>
      <c r="E43" s="1643"/>
      <c r="F43" s="1643"/>
      <c r="G43" s="1644"/>
      <c r="H43" s="1644"/>
      <c r="I43" s="1644"/>
      <c r="J43" s="1644"/>
      <c r="K43" s="1644"/>
      <c r="L43" s="1644"/>
      <c r="M43" s="1644"/>
      <c r="N43" s="1644"/>
      <c r="O43" s="1643">
        <f>+Q43+P43</f>
        <v>3535.6</v>
      </c>
      <c r="P43" s="1644"/>
      <c r="Q43" s="1647">
        <v>3535.6</v>
      </c>
      <c r="R43" s="1644"/>
      <c r="S43" s="1644"/>
      <c r="T43" s="1644"/>
      <c r="U43" s="1644"/>
      <c r="V43" s="1644"/>
      <c r="W43" s="1644"/>
      <c r="X43" s="1935"/>
    </row>
    <row r="44" spans="1:24" s="1149" customFormat="1">
      <c r="A44" s="1649"/>
      <c r="B44" s="1662" t="s">
        <v>1301</v>
      </c>
      <c r="C44" s="1650"/>
      <c r="D44" s="1651"/>
      <c r="E44" s="1651"/>
      <c r="F44" s="1651"/>
      <c r="G44" s="1652"/>
      <c r="H44" s="1652"/>
      <c r="I44" s="1652"/>
      <c r="J44" s="1652"/>
      <c r="K44" s="1652"/>
      <c r="L44" s="1652"/>
      <c r="M44" s="1652"/>
      <c r="N44" s="1652"/>
      <c r="O44" s="1643">
        <f t="shared" ref="O44:O84" si="5">+Q44+P44</f>
        <v>3535.6</v>
      </c>
      <c r="P44" s="1652"/>
      <c r="Q44" s="1653">
        <v>3535.6</v>
      </c>
      <c r="R44" s="1652"/>
      <c r="S44" s="1652"/>
      <c r="T44" s="1652"/>
      <c r="U44" s="1652"/>
      <c r="V44" s="1652"/>
      <c r="W44" s="1652"/>
      <c r="X44" s="1935"/>
    </row>
    <row r="45" spans="1:24" s="1155" customFormat="1" ht="48">
      <c r="A45" s="1661" t="s">
        <v>71</v>
      </c>
      <c r="B45" s="1663" t="s">
        <v>562</v>
      </c>
      <c r="C45" s="1642"/>
      <c r="D45" s="1643"/>
      <c r="E45" s="1643"/>
      <c r="F45" s="1643"/>
      <c r="G45" s="1644"/>
      <c r="H45" s="1644"/>
      <c r="I45" s="1644"/>
      <c r="J45" s="1644"/>
      <c r="K45" s="1644"/>
      <c r="L45" s="1644"/>
      <c r="M45" s="1644"/>
      <c r="N45" s="1644"/>
      <c r="O45" s="1643">
        <f t="shared" si="5"/>
        <v>259508.44699999999</v>
      </c>
      <c r="P45" s="1644"/>
      <c r="Q45" s="1647">
        <v>259508.44699999999</v>
      </c>
      <c r="R45" s="1644"/>
      <c r="S45" s="1644"/>
      <c r="T45" s="1644"/>
      <c r="U45" s="1644"/>
      <c r="V45" s="1644"/>
      <c r="W45" s="1644"/>
      <c r="X45" s="1935"/>
    </row>
    <row r="46" spans="1:24" s="1155" customFormat="1" ht="48">
      <c r="A46" s="1661" t="s">
        <v>1303</v>
      </c>
      <c r="B46" s="1663" t="s">
        <v>1304</v>
      </c>
      <c r="C46" s="1642"/>
      <c r="D46" s="1643"/>
      <c r="E46" s="1643"/>
      <c r="F46" s="1643"/>
      <c r="G46" s="1644"/>
      <c r="H46" s="1644"/>
      <c r="I46" s="1644"/>
      <c r="J46" s="1644"/>
      <c r="K46" s="1644"/>
      <c r="L46" s="1644"/>
      <c r="M46" s="1644"/>
      <c r="N46" s="1644"/>
      <c r="O46" s="1643">
        <f t="shared" si="5"/>
        <v>199762.66699999999</v>
      </c>
      <c r="P46" s="1644"/>
      <c r="Q46" s="1647">
        <v>199762.66699999999</v>
      </c>
      <c r="R46" s="1644"/>
      <c r="S46" s="1644"/>
      <c r="T46" s="1644"/>
      <c r="U46" s="1644"/>
      <c r="V46" s="1644"/>
      <c r="W46" s="1644"/>
      <c r="X46" s="1935"/>
    </row>
    <row r="47" spans="1:24" s="1149" customFormat="1">
      <c r="A47" s="1649"/>
      <c r="B47" s="1662" t="s">
        <v>1301</v>
      </c>
      <c r="C47" s="1650"/>
      <c r="D47" s="1651"/>
      <c r="E47" s="1651"/>
      <c r="F47" s="1651"/>
      <c r="G47" s="1652"/>
      <c r="H47" s="1652"/>
      <c r="I47" s="1652"/>
      <c r="J47" s="1652"/>
      <c r="K47" s="1652"/>
      <c r="L47" s="1652"/>
      <c r="M47" s="1652"/>
      <c r="N47" s="1652"/>
      <c r="O47" s="1643">
        <f t="shared" si="5"/>
        <v>199762.66699999999</v>
      </c>
      <c r="P47" s="1652"/>
      <c r="Q47" s="1653">
        <v>199762.66699999999</v>
      </c>
      <c r="R47" s="1652"/>
      <c r="S47" s="1652"/>
      <c r="T47" s="1652"/>
      <c r="U47" s="1652"/>
      <c r="V47" s="1652"/>
      <c r="W47" s="1652"/>
      <c r="X47" s="1935"/>
    </row>
    <row r="48" spans="1:24" s="1155" customFormat="1" ht="60">
      <c r="A48" s="1661" t="s">
        <v>1303</v>
      </c>
      <c r="B48" s="1663" t="s">
        <v>1305</v>
      </c>
      <c r="C48" s="1642"/>
      <c r="D48" s="1643"/>
      <c r="E48" s="1643"/>
      <c r="F48" s="1643"/>
      <c r="G48" s="1644"/>
      <c r="H48" s="1644"/>
      <c r="I48" s="1644"/>
      <c r="J48" s="1644"/>
      <c r="K48" s="1644"/>
      <c r="L48" s="1644"/>
      <c r="M48" s="1644"/>
      <c r="N48" s="1644"/>
      <c r="O48" s="1643">
        <f t="shared" si="5"/>
        <v>59745.78</v>
      </c>
      <c r="P48" s="1644"/>
      <c r="Q48" s="1647">
        <v>59745.78</v>
      </c>
      <c r="R48" s="1644"/>
      <c r="S48" s="1644"/>
      <c r="T48" s="1644"/>
      <c r="U48" s="1644"/>
      <c r="V48" s="1644"/>
      <c r="W48" s="1644"/>
      <c r="X48" s="1935"/>
    </row>
    <row r="49" spans="1:24" s="1149" customFormat="1">
      <c r="A49" s="1649"/>
      <c r="B49" s="1662" t="s">
        <v>1301</v>
      </c>
      <c r="C49" s="1650"/>
      <c r="D49" s="1651"/>
      <c r="E49" s="1651"/>
      <c r="F49" s="1651"/>
      <c r="G49" s="1652"/>
      <c r="H49" s="1652"/>
      <c r="I49" s="1652"/>
      <c r="J49" s="1652"/>
      <c r="K49" s="1652"/>
      <c r="L49" s="1652"/>
      <c r="M49" s="1652"/>
      <c r="N49" s="1652"/>
      <c r="O49" s="1643">
        <f t="shared" si="5"/>
        <v>59745.78</v>
      </c>
      <c r="P49" s="1652"/>
      <c r="Q49" s="1653">
        <v>59745.78</v>
      </c>
      <c r="R49" s="1652"/>
      <c r="S49" s="1652"/>
      <c r="T49" s="1652"/>
      <c r="U49" s="1652"/>
      <c r="V49" s="1652"/>
      <c r="W49" s="1652"/>
      <c r="X49" s="1935"/>
    </row>
    <row r="50" spans="1:24" s="1155" customFormat="1" ht="60">
      <c r="A50" s="1661" t="s">
        <v>71</v>
      </c>
      <c r="B50" s="1663" t="s">
        <v>1306</v>
      </c>
      <c r="C50" s="1642"/>
      <c r="D50" s="1643"/>
      <c r="E50" s="1643"/>
      <c r="F50" s="1643"/>
      <c r="G50" s="1644"/>
      <c r="H50" s="1644"/>
      <c r="I50" s="1644"/>
      <c r="J50" s="1644"/>
      <c r="K50" s="1644"/>
      <c r="L50" s="1644"/>
      <c r="M50" s="1644"/>
      <c r="N50" s="1644"/>
      <c r="O50" s="1643">
        <f t="shared" si="5"/>
        <v>189588.2</v>
      </c>
      <c r="P50" s="1647">
        <v>189588.2</v>
      </c>
      <c r="Q50" s="1644"/>
      <c r="R50" s="1644"/>
      <c r="S50" s="1644"/>
      <c r="T50" s="1644"/>
      <c r="U50" s="1644"/>
      <c r="V50" s="1644"/>
      <c r="W50" s="1644"/>
      <c r="X50" s="1935"/>
    </row>
    <row r="51" spans="1:24" s="1149" customFormat="1">
      <c r="A51" s="1649"/>
      <c r="B51" s="1662" t="s">
        <v>1301</v>
      </c>
      <c r="C51" s="1650"/>
      <c r="D51" s="1651"/>
      <c r="E51" s="1651"/>
      <c r="F51" s="1651"/>
      <c r="G51" s="1652"/>
      <c r="H51" s="1652"/>
      <c r="I51" s="1652"/>
      <c r="J51" s="1652"/>
      <c r="K51" s="1652"/>
      <c r="L51" s="1652"/>
      <c r="M51" s="1652"/>
      <c r="N51" s="1652"/>
      <c r="O51" s="1643">
        <f t="shared" si="5"/>
        <v>189398.2</v>
      </c>
      <c r="P51" s="1653">
        <v>189398.2</v>
      </c>
      <c r="Q51" s="1652"/>
      <c r="R51" s="1652"/>
      <c r="S51" s="1652"/>
      <c r="T51" s="1652"/>
      <c r="U51" s="1652"/>
      <c r="V51" s="1652"/>
      <c r="W51" s="1652"/>
      <c r="X51" s="1935"/>
    </row>
    <row r="52" spans="1:24" s="1149" customFormat="1">
      <c r="A52" s="1649"/>
      <c r="B52" s="1662" t="s">
        <v>805</v>
      </c>
      <c r="C52" s="1650"/>
      <c r="D52" s="1651"/>
      <c r="E52" s="1651"/>
      <c r="F52" s="1651"/>
      <c r="G52" s="1652"/>
      <c r="H52" s="1652"/>
      <c r="I52" s="1652"/>
      <c r="J52" s="1652"/>
      <c r="K52" s="1652"/>
      <c r="L52" s="1652"/>
      <c r="M52" s="1652"/>
      <c r="N52" s="1652"/>
      <c r="O52" s="1643">
        <f t="shared" si="5"/>
        <v>190</v>
      </c>
      <c r="P52" s="1653">
        <v>190</v>
      </c>
      <c r="Q52" s="1652"/>
      <c r="R52" s="1652"/>
      <c r="S52" s="1652"/>
      <c r="T52" s="1652"/>
      <c r="U52" s="1652"/>
      <c r="V52" s="1652"/>
      <c r="W52" s="1652"/>
      <c r="X52" s="1935"/>
    </row>
    <row r="53" spans="1:24" s="1155" customFormat="1" ht="60">
      <c r="A53" s="1661" t="s">
        <v>71</v>
      </c>
      <c r="B53" s="1663" t="s">
        <v>1307</v>
      </c>
      <c r="C53" s="1642"/>
      <c r="D53" s="1643"/>
      <c r="E53" s="1643"/>
      <c r="F53" s="1643"/>
      <c r="G53" s="1644"/>
      <c r="H53" s="1644"/>
      <c r="I53" s="1644"/>
      <c r="J53" s="1644"/>
      <c r="K53" s="1644"/>
      <c r="L53" s="1644"/>
      <c r="M53" s="1644"/>
      <c r="N53" s="1644"/>
      <c r="O53" s="1643">
        <f t="shared" si="5"/>
        <v>6215.1369999999997</v>
      </c>
      <c r="P53" s="1644"/>
      <c r="Q53" s="1647">
        <v>6215.1369999999997</v>
      </c>
      <c r="R53" s="1644"/>
      <c r="S53" s="1644"/>
      <c r="T53" s="1644"/>
      <c r="U53" s="1644"/>
      <c r="V53" s="1644"/>
      <c r="W53" s="1644"/>
      <c r="X53" s="1935"/>
    </row>
    <row r="54" spans="1:24" s="1149" customFormat="1">
      <c r="A54" s="1649"/>
      <c r="B54" s="1662" t="s">
        <v>1301</v>
      </c>
      <c r="C54" s="1650"/>
      <c r="D54" s="1651"/>
      <c r="E54" s="1651"/>
      <c r="F54" s="1651"/>
      <c r="G54" s="1652"/>
      <c r="H54" s="1652"/>
      <c r="I54" s="1652"/>
      <c r="J54" s="1652"/>
      <c r="K54" s="1652"/>
      <c r="L54" s="1652"/>
      <c r="M54" s="1652"/>
      <c r="N54" s="1652"/>
      <c r="O54" s="1643">
        <f t="shared" si="5"/>
        <v>6215.1369999999997</v>
      </c>
      <c r="P54" s="1652"/>
      <c r="Q54" s="1653">
        <v>6215.1369999999997</v>
      </c>
      <c r="R54" s="1652"/>
      <c r="S54" s="1652"/>
      <c r="T54" s="1652"/>
      <c r="U54" s="1652"/>
      <c r="V54" s="1652"/>
      <c r="W54" s="1652"/>
      <c r="X54" s="1935"/>
    </row>
    <row r="55" spans="1:24" s="1155" customFormat="1" ht="24">
      <c r="A55" s="1661" t="s">
        <v>71</v>
      </c>
      <c r="B55" s="1663" t="s">
        <v>1308</v>
      </c>
      <c r="C55" s="1642"/>
      <c r="D55" s="1643"/>
      <c r="E55" s="1643"/>
      <c r="F55" s="1643"/>
      <c r="G55" s="1644"/>
      <c r="H55" s="1644"/>
      <c r="I55" s="1644"/>
      <c r="J55" s="1644"/>
      <c r="K55" s="1644"/>
      <c r="L55" s="1644"/>
      <c r="M55" s="1644"/>
      <c r="N55" s="1644"/>
      <c r="O55" s="1643">
        <f t="shared" si="5"/>
        <v>44468.241999999998</v>
      </c>
      <c r="P55" s="1644"/>
      <c r="Q55" s="1647">
        <v>44468.241999999998</v>
      </c>
      <c r="R55" s="1644"/>
      <c r="S55" s="1644"/>
      <c r="T55" s="1644"/>
      <c r="U55" s="1644"/>
      <c r="V55" s="1644"/>
      <c r="W55" s="1644"/>
      <c r="X55" s="1935"/>
    </row>
    <row r="56" spans="1:24" s="1155" customFormat="1" ht="72">
      <c r="A56" s="1661" t="s">
        <v>1303</v>
      </c>
      <c r="B56" s="1663" t="s">
        <v>567</v>
      </c>
      <c r="C56" s="1642"/>
      <c r="D56" s="1643"/>
      <c r="E56" s="1643"/>
      <c r="F56" s="1643"/>
      <c r="G56" s="1644"/>
      <c r="H56" s="1644"/>
      <c r="I56" s="1644"/>
      <c r="J56" s="1644"/>
      <c r="K56" s="1644"/>
      <c r="L56" s="1644"/>
      <c r="M56" s="1644"/>
      <c r="N56" s="1644"/>
      <c r="O56" s="1643">
        <f t="shared" si="5"/>
        <v>18817.322</v>
      </c>
      <c r="P56" s="1644"/>
      <c r="Q56" s="1647">
        <v>18817.322</v>
      </c>
      <c r="R56" s="1644"/>
      <c r="S56" s="1644"/>
      <c r="T56" s="1644"/>
      <c r="U56" s="1644"/>
      <c r="V56" s="1644"/>
      <c r="W56" s="1644"/>
      <c r="X56" s="1935"/>
    </row>
    <row r="57" spans="1:24" s="1149" customFormat="1">
      <c r="A57" s="1649"/>
      <c r="B57" s="1662" t="s">
        <v>1301</v>
      </c>
      <c r="C57" s="1650"/>
      <c r="D57" s="1651"/>
      <c r="E57" s="1651"/>
      <c r="F57" s="1651"/>
      <c r="G57" s="1652"/>
      <c r="H57" s="1652"/>
      <c r="I57" s="1652"/>
      <c r="J57" s="1652"/>
      <c r="K57" s="1652"/>
      <c r="L57" s="1652"/>
      <c r="M57" s="1652"/>
      <c r="N57" s="1652"/>
      <c r="O57" s="1643">
        <f t="shared" si="5"/>
        <v>18817.322</v>
      </c>
      <c r="P57" s="1652"/>
      <c r="Q57" s="1653">
        <v>18817.322</v>
      </c>
      <c r="R57" s="1652"/>
      <c r="S57" s="1652"/>
      <c r="T57" s="1652"/>
      <c r="U57" s="1652"/>
      <c r="V57" s="1652"/>
      <c r="W57" s="1652"/>
      <c r="X57" s="1935"/>
    </row>
    <row r="58" spans="1:24" s="1155" customFormat="1" ht="48">
      <c r="A58" s="1661" t="s">
        <v>1303</v>
      </c>
      <c r="B58" s="1663" t="s">
        <v>1309</v>
      </c>
      <c r="C58" s="1642"/>
      <c r="D58" s="1643"/>
      <c r="E58" s="1643"/>
      <c r="F58" s="1643"/>
      <c r="G58" s="1644"/>
      <c r="H58" s="1644"/>
      <c r="I58" s="1644"/>
      <c r="J58" s="1644"/>
      <c r="K58" s="1644"/>
      <c r="L58" s="1644"/>
      <c r="M58" s="1644"/>
      <c r="N58" s="1644"/>
      <c r="O58" s="1643">
        <f t="shared" si="5"/>
        <v>1827.32</v>
      </c>
      <c r="P58" s="1644"/>
      <c r="Q58" s="1647">
        <v>1827.32</v>
      </c>
      <c r="R58" s="1644"/>
      <c r="S58" s="1644"/>
      <c r="T58" s="1644"/>
      <c r="U58" s="1644"/>
      <c r="V58" s="1644"/>
      <c r="W58" s="1644"/>
      <c r="X58" s="1935"/>
    </row>
    <row r="59" spans="1:24" s="1149" customFormat="1">
      <c r="A59" s="1649"/>
      <c r="B59" s="1662" t="s">
        <v>1301</v>
      </c>
      <c r="C59" s="1650"/>
      <c r="D59" s="1651"/>
      <c r="E59" s="1651"/>
      <c r="F59" s="1651"/>
      <c r="G59" s="1652"/>
      <c r="H59" s="1652"/>
      <c r="I59" s="1652"/>
      <c r="J59" s="1652"/>
      <c r="K59" s="1652"/>
      <c r="L59" s="1652"/>
      <c r="M59" s="1652"/>
      <c r="N59" s="1652"/>
      <c r="O59" s="1643">
        <f t="shared" si="5"/>
        <v>1827.32</v>
      </c>
      <c r="P59" s="1652"/>
      <c r="Q59" s="1653">
        <v>1827.32</v>
      </c>
      <c r="R59" s="1652"/>
      <c r="S59" s="1652"/>
      <c r="T59" s="1652"/>
      <c r="U59" s="1652"/>
      <c r="V59" s="1652"/>
      <c r="W59" s="1652"/>
      <c r="X59" s="1935"/>
    </row>
    <row r="60" spans="1:24" s="1155" customFormat="1" ht="36">
      <c r="A60" s="1661" t="s">
        <v>1303</v>
      </c>
      <c r="B60" s="1663" t="s">
        <v>635</v>
      </c>
      <c r="C60" s="1642"/>
      <c r="D60" s="1643"/>
      <c r="E60" s="1643"/>
      <c r="F60" s="1643"/>
      <c r="G60" s="1644"/>
      <c r="H60" s="1644"/>
      <c r="I60" s="1644"/>
      <c r="J60" s="1644"/>
      <c r="K60" s="1644"/>
      <c r="L60" s="1644"/>
      <c r="M60" s="1644"/>
      <c r="N60" s="1644"/>
      <c r="O60" s="1643">
        <f t="shared" si="5"/>
        <v>23823.599999999999</v>
      </c>
      <c r="P60" s="1644"/>
      <c r="Q60" s="1647">
        <v>23823.599999999999</v>
      </c>
      <c r="R60" s="1644"/>
      <c r="S60" s="1644"/>
      <c r="T60" s="1644"/>
      <c r="U60" s="1644"/>
      <c r="V60" s="1644"/>
      <c r="W60" s="1644"/>
      <c r="X60" s="1935"/>
    </row>
    <row r="61" spans="1:24" s="1149" customFormat="1">
      <c r="A61" s="1649"/>
      <c r="B61" s="1662" t="s">
        <v>1301</v>
      </c>
      <c r="C61" s="1650"/>
      <c r="D61" s="1651"/>
      <c r="E61" s="1651"/>
      <c r="F61" s="1651"/>
      <c r="G61" s="1652"/>
      <c r="H61" s="1652"/>
      <c r="I61" s="1652"/>
      <c r="J61" s="1652"/>
      <c r="K61" s="1652"/>
      <c r="L61" s="1652"/>
      <c r="M61" s="1652"/>
      <c r="N61" s="1652"/>
      <c r="O61" s="1643">
        <f t="shared" si="5"/>
        <v>22423.599999999999</v>
      </c>
      <c r="P61" s="1652"/>
      <c r="Q61" s="1653">
        <v>22423.599999999999</v>
      </c>
      <c r="R61" s="1652"/>
      <c r="S61" s="1652"/>
      <c r="T61" s="1652"/>
      <c r="U61" s="1652"/>
      <c r="V61" s="1652"/>
      <c r="W61" s="1652"/>
      <c r="X61" s="1935"/>
    </row>
    <row r="62" spans="1:24" s="1149" customFormat="1">
      <c r="A62" s="1649"/>
      <c r="B62" s="1662" t="s">
        <v>805</v>
      </c>
      <c r="C62" s="1650"/>
      <c r="D62" s="1651"/>
      <c r="E62" s="1651"/>
      <c r="F62" s="1651"/>
      <c r="G62" s="1652"/>
      <c r="H62" s="1652"/>
      <c r="I62" s="1652"/>
      <c r="J62" s="1652"/>
      <c r="K62" s="1652"/>
      <c r="L62" s="1652"/>
      <c r="M62" s="1652"/>
      <c r="N62" s="1652"/>
      <c r="O62" s="1643">
        <f t="shared" si="5"/>
        <v>1400</v>
      </c>
      <c r="P62" s="1652"/>
      <c r="Q62" s="1653">
        <v>1400</v>
      </c>
      <c r="R62" s="1652"/>
      <c r="S62" s="1652"/>
      <c r="T62" s="1652"/>
      <c r="U62" s="1652"/>
      <c r="V62" s="1652"/>
      <c r="W62" s="1652"/>
      <c r="X62" s="1935"/>
    </row>
    <row r="63" spans="1:24" s="1155" customFormat="1" ht="60">
      <c r="A63" s="1661" t="s">
        <v>71</v>
      </c>
      <c r="B63" s="1663" t="s">
        <v>1310</v>
      </c>
      <c r="C63" s="1642"/>
      <c r="D63" s="1643"/>
      <c r="E63" s="1643"/>
      <c r="F63" s="1643"/>
      <c r="G63" s="1644"/>
      <c r="H63" s="1644"/>
      <c r="I63" s="1644"/>
      <c r="J63" s="1644"/>
      <c r="K63" s="1644"/>
      <c r="L63" s="1644"/>
      <c r="M63" s="1644"/>
      <c r="N63" s="1644"/>
      <c r="O63" s="1643">
        <f t="shared" si="5"/>
        <v>32317</v>
      </c>
      <c r="P63" s="1644"/>
      <c r="Q63" s="1647">
        <v>32317</v>
      </c>
      <c r="R63" s="1644"/>
      <c r="S63" s="1644"/>
      <c r="T63" s="1644"/>
      <c r="U63" s="1644"/>
      <c r="V63" s="1644"/>
      <c r="W63" s="1644"/>
      <c r="X63" s="1935"/>
    </row>
    <row r="64" spans="1:24" s="1155" customFormat="1" ht="120">
      <c r="A64" s="1661" t="s">
        <v>1303</v>
      </c>
      <c r="B64" s="1663" t="s">
        <v>578</v>
      </c>
      <c r="C64" s="1642"/>
      <c r="D64" s="1643"/>
      <c r="E64" s="1643"/>
      <c r="F64" s="1643"/>
      <c r="G64" s="1644"/>
      <c r="H64" s="1644"/>
      <c r="I64" s="1644"/>
      <c r="J64" s="1644"/>
      <c r="K64" s="1644"/>
      <c r="L64" s="1644"/>
      <c r="M64" s="1644"/>
      <c r="N64" s="1644"/>
      <c r="O64" s="1643">
        <f t="shared" si="5"/>
        <v>13700</v>
      </c>
      <c r="P64" s="1644"/>
      <c r="Q64" s="1647">
        <v>13700</v>
      </c>
      <c r="R64" s="1644"/>
      <c r="S64" s="1644"/>
      <c r="T64" s="1644"/>
      <c r="U64" s="1644"/>
      <c r="V64" s="1644"/>
      <c r="W64" s="1644"/>
      <c r="X64" s="1935"/>
    </row>
    <row r="65" spans="1:24" s="1149" customFormat="1">
      <c r="A65" s="1649"/>
      <c r="B65" s="1662" t="s">
        <v>1301</v>
      </c>
      <c r="C65" s="1650"/>
      <c r="D65" s="1651"/>
      <c r="E65" s="1651"/>
      <c r="F65" s="1651"/>
      <c r="G65" s="1652"/>
      <c r="H65" s="1652"/>
      <c r="I65" s="1652"/>
      <c r="J65" s="1652"/>
      <c r="K65" s="1652"/>
      <c r="L65" s="1652"/>
      <c r="M65" s="1652"/>
      <c r="N65" s="1652"/>
      <c r="O65" s="1643">
        <f t="shared" si="5"/>
        <v>13700</v>
      </c>
      <c r="P65" s="1652"/>
      <c r="Q65" s="1653">
        <v>13700</v>
      </c>
      <c r="R65" s="1652"/>
      <c r="S65" s="1652"/>
      <c r="T65" s="1652"/>
      <c r="U65" s="1652"/>
      <c r="V65" s="1652"/>
      <c r="W65" s="1652"/>
      <c r="X65" s="1935"/>
    </row>
    <row r="66" spans="1:24" s="1155" customFormat="1" ht="48">
      <c r="A66" s="1661" t="s">
        <v>1303</v>
      </c>
      <c r="B66" s="1663" t="s">
        <v>580</v>
      </c>
      <c r="C66" s="1642"/>
      <c r="D66" s="1643"/>
      <c r="E66" s="1643"/>
      <c r="F66" s="1643"/>
      <c r="G66" s="1644"/>
      <c r="H66" s="1644"/>
      <c r="I66" s="1644"/>
      <c r="J66" s="1644"/>
      <c r="K66" s="1644"/>
      <c r="L66" s="1644"/>
      <c r="M66" s="1644"/>
      <c r="N66" s="1644"/>
      <c r="O66" s="1643">
        <f t="shared" si="5"/>
        <v>3600</v>
      </c>
      <c r="P66" s="1644"/>
      <c r="Q66" s="1647">
        <v>3600</v>
      </c>
      <c r="R66" s="1644"/>
      <c r="S66" s="1644"/>
      <c r="T66" s="1644"/>
      <c r="U66" s="1644"/>
      <c r="V66" s="1644"/>
      <c r="W66" s="1644"/>
      <c r="X66" s="1935"/>
    </row>
    <row r="67" spans="1:24" s="1149" customFormat="1">
      <c r="A67" s="1649"/>
      <c r="B67" s="1662" t="s">
        <v>1301</v>
      </c>
      <c r="C67" s="1650"/>
      <c r="D67" s="1651"/>
      <c r="E67" s="1651"/>
      <c r="F67" s="1651"/>
      <c r="G67" s="1652"/>
      <c r="H67" s="1652"/>
      <c r="I67" s="1652"/>
      <c r="J67" s="1652"/>
      <c r="K67" s="1652"/>
      <c r="L67" s="1652"/>
      <c r="M67" s="1652"/>
      <c r="N67" s="1652"/>
      <c r="O67" s="1643">
        <f t="shared" si="5"/>
        <v>3600</v>
      </c>
      <c r="P67" s="1652"/>
      <c r="Q67" s="1653">
        <v>3600</v>
      </c>
      <c r="R67" s="1652"/>
      <c r="S67" s="1652"/>
      <c r="T67" s="1652"/>
      <c r="U67" s="1652"/>
      <c r="V67" s="1652"/>
      <c r="W67" s="1652"/>
      <c r="X67" s="1935"/>
    </row>
    <row r="68" spans="1:24" s="1155" customFormat="1" ht="36">
      <c r="A68" s="1661" t="s">
        <v>1303</v>
      </c>
      <c r="B68" s="1663" t="s">
        <v>583</v>
      </c>
      <c r="C68" s="1642"/>
      <c r="D68" s="1643"/>
      <c r="E68" s="1643"/>
      <c r="F68" s="1643"/>
      <c r="G68" s="1644"/>
      <c r="H68" s="1644"/>
      <c r="I68" s="1644"/>
      <c r="J68" s="1644"/>
      <c r="K68" s="1644"/>
      <c r="L68" s="1644"/>
      <c r="M68" s="1644"/>
      <c r="N68" s="1644"/>
      <c r="O68" s="1643">
        <f t="shared" si="5"/>
        <v>15017</v>
      </c>
      <c r="P68" s="1644"/>
      <c r="Q68" s="1647">
        <v>15017</v>
      </c>
      <c r="R68" s="1644"/>
      <c r="S68" s="1644"/>
      <c r="T68" s="1644"/>
      <c r="U68" s="1644"/>
      <c r="V68" s="1644"/>
      <c r="W68" s="1644"/>
      <c r="X68" s="1935"/>
    </row>
    <row r="69" spans="1:24" s="1149" customFormat="1">
      <c r="A69" s="1649"/>
      <c r="B69" s="1662" t="s">
        <v>1301</v>
      </c>
      <c r="C69" s="1650"/>
      <c r="D69" s="1651"/>
      <c r="E69" s="1651"/>
      <c r="F69" s="1651"/>
      <c r="G69" s="1652"/>
      <c r="H69" s="1652"/>
      <c r="I69" s="1652"/>
      <c r="J69" s="1652"/>
      <c r="K69" s="1652"/>
      <c r="L69" s="1652"/>
      <c r="M69" s="1652"/>
      <c r="N69" s="1652"/>
      <c r="O69" s="1643">
        <f t="shared" si="5"/>
        <v>14017</v>
      </c>
      <c r="P69" s="1652"/>
      <c r="Q69" s="1653">
        <v>14017</v>
      </c>
      <c r="R69" s="1652"/>
      <c r="S69" s="1652"/>
      <c r="T69" s="1652"/>
      <c r="U69" s="1652"/>
      <c r="V69" s="1652"/>
      <c r="W69" s="1652"/>
      <c r="X69" s="1935"/>
    </row>
    <row r="70" spans="1:24" s="1149" customFormat="1">
      <c r="A70" s="1649"/>
      <c r="B70" s="1662" t="s">
        <v>805</v>
      </c>
      <c r="C70" s="1650"/>
      <c r="D70" s="1651"/>
      <c r="E70" s="1651"/>
      <c r="F70" s="1651"/>
      <c r="G70" s="1652"/>
      <c r="H70" s="1652"/>
      <c r="I70" s="1652"/>
      <c r="J70" s="1652"/>
      <c r="K70" s="1652"/>
      <c r="L70" s="1652"/>
      <c r="M70" s="1652"/>
      <c r="N70" s="1652"/>
      <c r="O70" s="1643">
        <f t="shared" si="5"/>
        <v>1000</v>
      </c>
      <c r="P70" s="1652"/>
      <c r="Q70" s="1653">
        <v>1000</v>
      </c>
      <c r="R70" s="1652"/>
      <c r="S70" s="1652"/>
      <c r="T70" s="1652"/>
      <c r="U70" s="1652"/>
      <c r="V70" s="1652"/>
      <c r="W70" s="1652"/>
      <c r="X70" s="1935"/>
    </row>
    <row r="71" spans="1:24" s="1147" customFormat="1" ht="24">
      <c r="A71" s="1655" t="s">
        <v>1311</v>
      </c>
      <c r="B71" s="1656" t="s">
        <v>1312</v>
      </c>
      <c r="C71" s="1657"/>
      <c r="D71" s="1658"/>
      <c r="E71" s="1658"/>
      <c r="F71" s="1658"/>
      <c r="G71" s="1659"/>
      <c r="H71" s="1660">
        <v>466100</v>
      </c>
      <c r="I71" s="1660">
        <v>300000</v>
      </c>
      <c r="J71" s="1659"/>
      <c r="K71" s="1659"/>
      <c r="L71" s="1659"/>
      <c r="M71" s="1659"/>
      <c r="N71" s="1659"/>
      <c r="O71" s="1643">
        <f t="shared" si="5"/>
        <v>97956</v>
      </c>
      <c r="P71" s="1660">
        <f>+P72</f>
        <v>97956</v>
      </c>
      <c r="Q71" s="1660">
        <f>+Q72</f>
        <v>0</v>
      </c>
      <c r="R71" s="1659"/>
      <c r="S71" s="1659"/>
      <c r="T71" s="1640">
        <f>+Q71+P71-I71--H71</f>
        <v>264056</v>
      </c>
      <c r="U71" s="1659"/>
      <c r="V71" s="1659"/>
      <c r="W71" s="1664">
        <f>+(Q71+P71)/(I71+H71)</f>
        <v>0.12786320323717532</v>
      </c>
      <c r="X71" s="1935"/>
    </row>
    <row r="72" spans="1:24" s="1155" customFormat="1" ht="48">
      <c r="A72" s="1661" t="s">
        <v>71</v>
      </c>
      <c r="B72" s="1663" t="s">
        <v>1313</v>
      </c>
      <c r="C72" s="1642"/>
      <c r="D72" s="1643"/>
      <c r="E72" s="1643"/>
      <c r="F72" s="1643"/>
      <c r="G72" s="1644"/>
      <c r="H72" s="1647"/>
      <c r="I72" s="1647"/>
      <c r="J72" s="1644"/>
      <c r="K72" s="1644"/>
      <c r="L72" s="1644"/>
      <c r="M72" s="1644"/>
      <c r="N72" s="1644"/>
      <c r="O72" s="1643">
        <f t="shared" si="5"/>
        <v>97956</v>
      </c>
      <c r="P72" s="1647">
        <f>+P73</f>
        <v>97956</v>
      </c>
      <c r="Q72" s="1644"/>
      <c r="R72" s="1644"/>
      <c r="S72" s="1644"/>
      <c r="T72" s="1644"/>
      <c r="U72" s="1644"/>
      <c r="V72" s="1644"/>
      <c r="W72" s="1644"/>
      <c r="X72" s="1935"/>
    </row>
    <row r="73" spans="1:24" s="1149" customFormat="1">
      <c r="A73" s="1649"/>
      <c r="B73" s="1662" t="s">
        <v>1301</v>
      </c>
      <c r="C73" s="1650"/>
      <c r="D73" s="1651"/>
      <c r="E73" s="1651"/>
      <c r="F73" s="1651"/>
      <c r="G73" s="1652"/>
      <c r="H73" s="1653"/>
      <c r="I73" s="1653"/>
      <c r="J73" s="1652"/>
      <c r="K73" s="1652"/>
      <c r="L73" s="1652"/>
      <c r="M73" s="1652"/>
      <c r="N73" s="1652"/>
      <c r="O73" s="1643">
        <f t="shared" si="5"/>
        <v>97956</v>
      </c>
      <c r="P73" s="1653">
        <v>97956</v>
      </c>
      <c r="Q73" s="1652"/>
      <c r="R73" s="1652"/>
      <c r="S73" s="1652"/>
      <c r="T73" s="1652"/>
      <c r="U73" s="1652"/>
      <c r="V73" s="1652"/>
      <c r="W73" s="1652"/>
      <c r="X73" s="1935"/>
    </row>
    <row r="74" spans="1:24" s="1147" customFormat="1" ht="24">
      <c r="A74" s="1655" t="s">
        <v>1314</v>
      </c>
      <c r="B74" s="1665" t="s">
        <v>1315</v>
      </c>
      <c r="C74" s="1657"/>
      <c r="D74" s="1658"/>
      <c r="E74" s="1658"/>
      <c r="F74" s="1658"/>
      <c r="G74" s="1659"/>
      <c r="H74" s="1660"/>
      <c r="I74" s="1660">
        <v>702211.24699999997</v>
      </c>
      <c r="J74" s="1659"/>
      <c r="K74" s="1659"/>
      <c r="L74" s="1659"/>
      <c r="M74" s="1659"/>
      <c r="N74" s="1659"/>
      <c r="O74" s="1643">
        <f t="shared" si="5"/>
        <v>76116.739000000001</v>
      </c>
      <c r="P74" s="1660"/>
      <c r="Q74" s="1660">
        <f>+Q75+Q77+Q79+Q81+Q83</f>
        <v>76116.739000000001</v>
      </c>
      <c r="R74" s="1659"/>
      <c r="S74" s="1659"/>
      <c r="T74" s="1640">
        <f>+Q74+P74-I74--H74</f>
        <v>-626094.50799999991</v>
      </c>
      <c r="U74" s="1659"/>
      <c r="V74" s="1659"/>
      <c r="W74" s="1664">
        <f>+(Q74+P74)/(I74+H74)</f>
        <v>0.10839578449531727</v>
      </c>
      <c r="X74" s="1935"/>
    </row>
    <row r="75" spans="1:24" s="1155" customFormat="1" ht="24">
      <c r="A75" s="1661" t="s">
        <v>71</v>
      </c>
      <c r="B75" s="1666" t="s">
        <v>1316</v>
      </c>
      <c r="C75" s="1642"/>
      <c r="D75" s="1643"/>
      <c r="E75" s="1643"/>
      <c r="F75" s="1643"/>
      <c r="G75" s="1644"/>
      <c r="H75" s="1644"/>
      <c r="I75" s="1644"/>
      <c r="J75" s="1644"/>
      <c r="K75" s="1644"/>
      <c r="L75" s="1644"/>
      <c r="M75" s="1644"/>
      <c r="N75" s="1644"/>
      <c r="O75" s="1643">
        <f t="shared" si="5"/>
        <v>1145.4000000000001</v>
      </c>
      <c r="P75" s="1644"/>
      <c r="Q75" s="1647">
        <v>1145.4000000000001</v>
      </c>
      <c r="R75" s="1644"/>
      <c r="S75" s="1644"/>
      <c r="T75" s="1644"/>
      <c r="U75" s="1644"/>
      <c r="V75" s="1644"/>
      <c r="W75" s="1644"/>
      <c r="X75" s="1935"/>
    </row>
    <row r="76" spans="1:24" s="1149" customFormat="1">
      <c r="A76" s="1649"/>
      <c r="B76" s="1662" t="s">
        <v>1301</v>
      </c>
      <c r="C76" s="1650"/>
      <c r="D76" s="1651"/>
      <c r="E76" s="1651"/>
      <c r="F76" s="1651"/>
      <c r="G76" s="1652"/>
      <c r="H76" s="1652"/>
      <c r="I76" s="1652"/>
      <c r="J76" s="1652"/>
      <c r="K76" s="1652"/>
      <c r="L76" s="1652"/>
      <c r="M76" s="1652"/>
      <c r="N76" s="1652"/>
      <c r="O76" s="1643">
        <f t="shared" si="5"/>
        <v>1145.4000000000001</v>
      </c>
      <c r="P76" s="1652"/>
      <c r="Q76" s="1653">
        <v>1145.4000000000001</v>
      </c>
      <c r="R76" s="1652"/>
      <c r="S76" s="1652"/>
      <c r="T76" s="1652"/>
      <c r="U76" s="1652"/>
      <c r="V76" s="1652"/>
      <c r="W76" s="1652"/>
      <c r="X76" s="1935"/>
    </row>
    <row r="77" spans="1:24" s="1155" customFormat="1" ht="24">
      <c r="A77" s="1661" t="s">
        <v>71</v>
      </c>
      <c r="B77" s="1666" t="s">
        <v>1317</v>
      </c>
      <c r="C77" s="1642"/>
      <c r="D77" s="1643"/>
      <c r="E77" s="1643"/>
      <c r="F77" s="1643"/>
      <c r="G77" s="1644"/>
      <c r="H77" s="1644"/>
      <c r="I77" s="1644"/>
      <c r="J77" s="1644"/>
      <c r="K77" s="1644"/>
      <c r="L77" s="1644"/>
      <c r="M77" s="1644"/>
      <c r="N77" s="1644"/>
      <c r="O77" s="1643">
        <f t="shared" si="5"/>
        <v>48679.919000000002</v>
      </c>
      <c r="P77" s="1644"/>
      <c r="Q77" s="1647">
        <v>48679.919000000002</v>
      </c>
      <c r="R77" s="1644"/>
      <c r="S77" s="1644"/>
      <c r="T77" s="1644"/>
      <c r="U77" s="1644"/>
      <c r="V77" s="1644"/>
      <c r="W77" s="1644"/>
      <c r="X77" s="1935"/>
    </row>
    <row r="78" spans="1:24" s="1149" customFormat="1">
      <c r="A78" s="1649"/>
      <c r="B78" s="1662" t="s">
        <v>1301</v>
      </c>
      <c r="C78" s="1650"/>
      <c r="D78" s="1651"/>
      <c r="E78" s="1651"/>
      <c r="F78" s="1651"/>
      <c r="G78" s="1652"/>
      <c r="H78" s="1652"/>
      <c r="I78" s="1652"/>
      <c r="J78" s="1652"/>
      <c r="K78" s="1652"/>
      <c r="L78" s="1652"/>
      <c r="M78" s="1652"/>
      <c r="N78" s="1652"/>
      <c r="O78" s="1643">
        <f t="shared" si="5"/>
        <v>48679.919000000002</v>
      </c>
      <c r="P78" s="1652"/>
      <c r="Q78" s="1653">
        <v>48679.919000000002</v>
      </c>
      <c r="R78" s="1652"/>
      <c r="S78" s="1652"/>
      <c r="T78" s="1652"/>
      <c r="U78" s="1652"/>
      <c r="V78" s="1652"/>
      <c r="W78" s="1652"/>
      <c r="X78" s="1935"/>
    </row>
    <row r="79" spans="1:24" s="1155" customFormat="1" ht="24">
      <c r="A79" s="1661" t="s">
        <v>71</v>
      </c>
      <c r="B79" s="1663" t="s">
        <v>1318</v>
      </c>
      <c r="C79" s="1642"/>
      <c r="D79" s="1643"/>
      <c r="E79" s="1643"/>
      <c r="F79" s="1643"/>
      <c r="G79" s="1644"/>
      <c r="H79" s="1644"/>
      <c r="I79" s="1644"/>
      <c r="J79" s="1644"/>
      <c r="K79" s="1644"/>
      <c r="L79" s="1644"/>
      <c r="M79" s="1644"/>
      <c r="N79" s="1644"/>
      <c r="O79" s="1643">
        <f t="shared" si="5"/>
        <v>6085.58</v>
      </c>
      <c r="P79" s="1644"/>
      <c r="Q79" s="1647">
        <v>6085.58</v>
      </c>
      <c r="R79" s="1644"/>
      <c r="S79" s="1644"/>
      <c r="T79" s="1644"/>
      <c r="U79" s="1644"/>
      <c r="V79" s="1644"/>
      <c r="W79" s="1644"/>
      <c r="X79" s="1935"/>
    </row>
    <row r="80" spans="1:24" s="1149" customFormat="1">
      <c r="A80" s="1649"/>
      <c r="B80" s="1662" t="s">
        <v>1301</v>
      </c>
      <c r="C80" s="1650"/>
      <c r="D80" s="1651"/>
      <c r="E80" s="1651"/>
      <c r="F80" s="1651"/>
      <c r="G80" s="1652"/>
      <c r="H80" s="1652"/>
      <c r="I80" s="1652"/>
      <c r="J80" s="1652"/>
      <c r="K80" s="1652"/>
      <c r="L80" s="1652"/>
      <c r="M80" s="1652"/>
      <c r="N80" s="1652"/>
      <c r="O80" s="1643">
        <f t="shared" si="5"/>
        <v>6085.58</v>
      </c>
      <c r="P80" s="1652"/>
      <c r="Q80" s="1653">
        <v>6085.58</v>
      </c>
      <c r="R80" s="1652"/>
      <c r="S80" s="1652"/>
      <c r="T80" s="1652"/>
      <c r="U80" s="1652"/>
      <c r="V80" s="1652"/>
      <c r="W80" s="1652"/>
      <c r="X80" s="1935"/>
    </row>
    <row r="81" spans="1:24" s="1155" customFormat="1" ht="24">
      <c r="A81" s="1661" t="s">
        <v>71</v>
      </c>
      <c r="B81" s="1663" t="s">
        <v>1319</v>
      </c>
      <c r="C81" s="1642"/>
      <c r="D81" s="1643"/>
      <c r="E81" s="1643"/>
      <c r="F81" s="1643"/>
      <c r="G81" s="1644"/>
      <c r="H81" s="1644"/>
      <c r="I81" s="1644"/>
      <c r="J81" s="1644"/>
      <c r="K81" s="1644"/>
      <c r="L81" s="1644"/>
      <c r="M81" s="1644"/>
      <c r="N81" s="1644"/>
      <c r="O81" s="1643">
        <f t="shared" si="5"/>
        <v>770</v>
      </c>
      <c r="P81" s="1644"/>
      <c r="Q81" s="1647">
        <v>770</v>
      </c>
      <c r="R81" s="1644"/>
      <c r="S81" s="1644"/>
      <c r="T81" s="1644"/>
      <c r="U81" s="1644"/>
      <c r="V81" s="1644"/>
      <c r="W81" s="1644"/>
      <c r="X81" s="1935"/>
    </row>
    <row r="82" spans="1:24" s="1149" customFormat="1">
      <c r="A82" s="1649"/>
      <c r="B82" s="1662" t="s">
        <v>1301</v>
      </c>
      <c r="C82" s="1650"/>
      <c r="D82" s="1651"/>
      <c r="E82" s="1651"/>
      <c r="F82" s="1651"/>
      <c r="G82" s="1652"/>
      <c r="H82" s="1652"/>
      <c r="I82" s="1652"/>
      <c r="J82" s="1652"/>
      <c r="K82" s="1652"/>
      <c r="L82" s="1652"/>
      <c r="M82" s="1652"/>
      <c r="N82" s="1652"/>
      <c r="O82" s="1643">
        <f t="shared" si="5"/>
        <v>770</v>
      </c>
      <c r="P82" s="1652"/>
      <c r="Q82" s="1653">
        <v>770</v>
      </c>
      <c r="R82" s="1652"/>
      <c r="S82" s="1652"/>
      <c r="T82" s="1652"/>
      <c r="U82" s="1652"/>
      <c r="V82" s="1652"/>
      <c r="W82" s="1652"/>
      <c r="X82" s="1935"/>
    </row>
    <row r="83" spans="1:24" s="1155" customFormat="1" ht="24">
      <c r="A83" s="1661" t="s">
        <v>71</v>
      </c>
      <c r="B83" s="1667" t="s">
        <v>1320</v>
      </c>
      <c r="C83" s="1642"/>
      <c r="D83" s="1643"/>
      <c r="E83" s="1643"/>
      <c r="F83" s="1643"/>
      <c r="G83" s="1644"/>
      <c r="H83" s="1644"/>
      <c r="I83" s="1644"/>
      <c r="J83" s="1644"/>
      <c r="K83" s="1644"/>
      <c r="L83" s="1644"/>
      <c r="M83" s="1644"/>
      <c r="N83" s="1644"/>
      <c r="O83" s="1643">
        <f t="shared" si="5"/>
        <v>19435.84</v>
      </c>
      <c r="P83" s="1644"/>
      <c r="Q83" s="1647">
        <v>19435.84</v>
      </c>
      <c r="R83" s="1644"/>
      <c r="S83" s="1644"/>
      <c r="T83" s="1644"/>
      <c r="U83" s="1644"/>
      <c r="V83" s="1644"/>
      <c r="W83" s="1644"/>
      <c r="X83" s="1935"/>
    </row>
    <row r="84" spans="1:24" s="1149" customFormat="1">
      <c r="A84" s="1649"/>
      <c r="B84" s="1662" t="s">
        <v>1301</v>
      </c>
      <c r="C84" s="1650"/>
      <c r="D84" s="1651"/>
      <c r="E84" s="1651"/>
      <c r="F84" s="1651"/>
      <c r="G84" s="1652"/>
      <c r="H84" s="1652"/>
      <c r="I84" s="1652"/>
      <c r="J84" s="1652"/>
      <c r="K84" s="1652"/>
      <c r="L84" s="1652"/>
      <c r="M84" s="1652"/>
      <c r="N84" s="1652"/>
      <c r="O84" s="1643">
        <f t="shared" si="5"/>
        <v>19435.84</v>
      </c>
      <c r="P84" s="1652"/>
      <c r="Q84" s="1653">
        <v>19435.84</v>
      </c>
      <c r="R84" s="1652"/>
      <c r="S84" s="1652"/>
      <c r="T84" s="1652"/>
      <c r="U84" s="1652"/>
      <c r="V84" s="1652"/>
      <c r="W84" s="1652"/>
      <c r="X84" s="1936"/>
    </row>
    <row r="85" spans="1:24" s="1670" customFormat="1" ht="24" hidden="1" customHeight="1">
      <c r="A85" s="1668"/>
      <c r="B85" s="1669" t="s">
        <v>1321</v>
      </c>
    </row>
    <row r="86" spans="1:24" ht="24.75" hidden="1" customHeight="1">
      <c r="A86" s="1671"/>
      <c r="B86" s="1937" t="s">
        <v>1322</v>
      </c>
      <c r="C86" s="1937"/>
      <c r="D86" s="1937"/>
      <c r="E86" s="1937"/>
      <c r="F86" s="1937"/>
      <c r="G86" s="1937"/>
      <c r="H86" s="1937"/>
      <c r="I86" s="1937"/>
      <c r="J86" s="1937"/>
      <c r="K86" s="1937"/>
      <c r="L86" s="1937"/>
      <c r="M86" s="1937"/>
      <c r="N86" s="1937"/>
      <c r="O86" s="1937"/>
      <c r="P86" s="1937"/>
      <c r="Q86" s="1937"/>
      <c r="R86" s="1937"/>
      <c r="S86" s="1937"/>
      <c r="T86" s="1937"/>
      <c r="U86" s="1937"/>
      <c r="V86" s="1937"/>
      <c r="W86" s="1937"/>
      <c r="X86" s="1937"/>
    </row>
    <row r="87" spans="1:24" ht="37.15" customHeight="1">
      <c r="A87" s="1671"/>
    </row>
  </sheetData>
  <mergeCells count="24">
    <mergeCell ref="T1:X1"/>
    <mergeCell ref="A2:X2"/>
    <mergeCell ref="A3:X3"/>
    <mergeCell ref="A4:X4"/>
    <mergeCell ref="A5:A7"/>
    <mergeCell ref="B5:B7"/>
    <mergeCell ref="C5:I5"/>
    <mergeCell ref="J5:Q5"/>
    <mergeCell ref="R5:W5"/>
    <mergeCell ref="X5:X7"/>
    <mergeCell ref="A1:Q1"/>
    <mergeCell ref="C6:C7"/>
    <mergeCell ref="D6:E6"/>
    <mergeCell ref="F6:G6"/>
    <mergeCell ref="H6:I6"/>
    <mergeCell ref="X37:X84"/>
    <mergeCell ref="B86:X86"/>
    <mergeCell ref="O6:O7"/>
    <mergeCell ref="J6:J7"/>
    <mergeCell ref="K6:L6"/>
    <mergeCell ref="M6:N6"/>
    <mergeCell ref="P6:Q6"/>
    <mergeCell ref="R6:T6"/>
    <mergeCell ref="U6:W6"/>
  </mergeCells>
  <pageMargins left="0.7" right="0.7" top="0.75" bottom="0.75"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50C81-6C1C-4A71-9CF1-9D265BB875E9}">
  <dimension ref="A1:N104"/>
  <sheetViews>
    <sheetView view="pageBreakPreview" topLeftCell="A78" zoomScale="60" zoomScaleNormal="100" workbookViewId="0">
      <selection activeCell="M63" sqref="M63"/>
    </sheetView>
  </sheetViews>
  <sheetFormatPr defaultRowHeight="15.75"/>
  <cols>
    <col min="1" max="1" width="5.85546875" style="1673" customWidth="1"/>
    <col min="2" max="2" width="52.42578125" style="1673" customWidth="1"/>
    <col min="3" max="3" width="16.42578125" style="1673" customWidth="1"/>
    <col min="4" max="4" width="16.42578125" style="1606" customWidth="1"/>
    <col min="5" max="5" width="16.42578125" style="1606" hidden="1" customWidth="1"/>
    <col min="6" max="6" width="16.42578125" style="1673" hidden="1" customWidth="1"/>
    <col min="7" max="7" width="17" style="1606" customWidth="1"/>
    <col min="8" max="8" width="17.5703125" style="1606" customWidth="1"/>
    <col min="9" max="10" width="16.42578125" style="1606" customWidth="1"/>
    <col min="11" max="11" width="10.7109375" style="1606" customWidth="1"/>
    <col min="12" max="12" width="12.85546875" style="1606" customWidth="1"/>
    <col min="13" max="14" width="18.42578125" style="1606" customWidth="1"/>
    <col min="15" max="254" width="9.140625" style="1606"/>
    <col min="255" max="255" width="5.85546875" style="1606" customWidth="1"/>
    <col min="256" max="256" width="52.42578125" style="1606" customWidth="1"/>
    <col min="257" max="258" width="16.42578125" style="1606" customWidth="1"/>
    <col min="259" max="260" width="0" style="1606" hidden="1" customWidth="1"/>
    <col min="261" max="261" width="17" style="1606" customWidth="1"/>
    <col min="262" max="262" width="17.5703125" style="1606" customWidth="1"/>
    <col min="263" max="264" width="16.42578125" style="1606" customWidth="1"/>
    <col min="265" max="265" width="10.7109375" style="1606" customWidth="1"/>
    <col min="266" max="266" width="12.85546875" style="1606" customWidth="1"/>
    <col min="267" max="267" width="18.42578125" style="1606" customWidth="1"/>
    <col min="268" max="268" width="30" style="1606" bestFit="1" customWidth="1"/>
    <col min="269" max="270" width="18.42578125" style="1606" customWidth="1"/>
    <col min="271" max="510" width="9.140625" style="1606"/>
    <col min="511" max="511" width="5.85546875" style="1606" customWidth="1"/>
    <col min="512" max="512" width="52.42578125" style="1606" customWidth="1"/>
    <col min="513" max="514" width="16.42578125" style="1606" customWidth="1"/>
    <col min="515" max="516" width="0" style="1606" hidden="1" customWidth="1"/>
    <col min="517" max="517" width="17" style="1606" customWidth="1"/>
    <col min="518" max="518" width="17.5703125" style="1606" customWidth="1"/>
    <col min="519" max="520" width="16.42578125" style="1606" customWidth="1"/>
    <col min="521" max="521" width="10.7109375" style="1606" customWidth="1"/>
    <col min="522" max="522" width="12.85546875" style="1606" customWidth="1"/>
    <col min="523" max="523" width="18.42578125" style="1606" customWidth="1"/>
    <col min="524" max="524" width="30" style="1606" bestFit="1" customWidth="1"/>
    <col min="525" max="526" width="18.42578125" style="1606" customWidth="1"/>
    <col min="527" max="766" width="9.140625" style="1606"/>
    <col min="767" max="767" width="5.85546875" style="1606" customWidth="1"/>
    <col min="768" max="768" width="52.42578125" style="1606" customWidth="1"/>
    <col min="769" max="770" width="16.42578125" style="1606" customWidth="1"/>
    <col min="771" max="772" width="0" style="1606" hidden="1" customWidth="1"/>
    <col min="773" max="773" width="17" style="1606" customWidth="1"/>
    <col min="774" max="774" width="17.5703125" style="1606" customWidth="1"/>
    <col min="775" max="776" width="16.42578125" style="1606" customWidth="1"/>
    <col min="777" max="777" width="10.7109375" style="1606" customWidth="1"/>
    <col min="778" max="778" width="12.85546875" style="1606" customWidth="1"/>
    <col min="779" max="779" width="18.42578125" style="1606" customWidth="1"/>
    <col min="780" max="780" width="30" style="1606" bestFit="1" customWidth="1"/>
    <col min="781" max="782" width="18.42578125" style="1606" customWidth="1"/>
    <col min="783" max="1022" width="9.140625" style="1606"/>
    <col min="1023" max="1023" width="5.85546875" style="1606" customWidth="1"/>
    <col min="1024" max="1024" width="52.42578125" style="1606" customWidth="1"/>
    <col min="1025" max="1026" width="16.42578125" style="1606" customWidth="1"/>
    <col min="1027" max="1028" width="0" style="1606" hidden="1" customWidth="1"/>
    <col min="1029" max="1029" width="17" style="1606" customWidth="1"/>
    <col min="1030" max="1030" width="17.5703125" style="1606" customWidth="1"/>
    <col min="1031" max="1032" width="16.42578125" style="1606" customWidth="1"/>
    <col min="1033" max="1033" width="10.7109375" style="1606" customWidth="1"/>
    <col min="1034" max="1034" width="12.85546875" style="1606" customWidth="1"/>
    <col min="1035" max="1035" width="18.42578125" style="1606" customWidth="1"/>
    <col min="1036" max="1036" width="30" style="1606" bestFit="1" customWidth="1"/>
    <col min="1037" max="1038" width="18.42578125" style="1606" customWidth="1"/>
    <col min="1039" max="1278" width="9.140625" style="1606"/>
    <col min="1279" max="1279" width="5.85546875" style="1606" customWidth="1"/>
    <col min="1280" max="1280" width="52.42578125" style="1606" customWidth="1"/>
    <col min="1281" max="1282" width="16.42578125" style="1606" customWidth="1"/>
    <col min="1283" max="1284" width="0" style="1606" hidden="1" customWidth="1"/>
    <col min="1285" max="1285" width="17" style="1606" customWidth="1"/>
    <col min="1286" max="1286" width="17.5703125" style="1606" customWidth="1"/>
    <col min="1287" max="1288" width="16.42578125" style="1606" customWidth="1"/>
    <col min="1289" max="1289" width="10.7109375" style="1606" customWidth="1"/>
    <col min="1290" max="1290" width="12.85546875" style="1606" customWidth="1"/>
    <col min="1291" max="1291" width="18.42578125" style="1606" customWidth="1"/>
    <col min="1292" max="1292" width="30" style="1606" bestFit="1" customWidth="1"/>
    <col min="1293" max="1294" width="18.42578125" style="1606" customWidth="1"/>
    <col min="1295" max="1534" width="9.140625" style="1606"/>
    <col min="1535" max="1535" width="5.85546875" style="1606" customWidth="1"/>
    <col min="1536" max="1536" width="52.42578125" style="1606" customWidth="1"/>
    <col min="1537" max="1538" width="16.42578125" style="1606" customWidth="1"/>
    <col min="1539" max="1540" width="0" style="1606" hidden="1" customWidth="1"/>
    <col min="1541" max="1541" width="17" style="1606" customWidth="1"/>
    <col min="1542" max="1542" width="17.5703125" style="1606" customWidth="1"/>
    <col min="1543" max="1544" width="16.42578125" style="1606" customWidth="1"/>
    <col min="1545" max="1545" width="10.7109375" style="1606" customWidth="1"/>
    <col min="1546" max="1546" width="12.85546875" style="1606" customWidth="1"/>
    <col min="1547" max="1547" width="18.42578125" style="1606" customWidth="1"/>
    <col min="1548" max="1548" width="30" style="1606" bestFit="1" customWidth="1"/>
    <col min="1549" max="1550" width="18.42578125" style="1606" customWidth="1"/>
    <col min="1551" max="1790" width="9.140625" style="1606"/>
    <col min="1791" max="1791" width="5.85546875" style="1606" customWidth="1"/>
    <col min="1792" max="1792" width="52.42578125" style="1606" customWidth="1"/>
    <col min="1793" max="1794" width="16.42578125" style="1606" customWidth="1"/>
    <col min="1795" max="1796" width="0" style="1606" hidden="1" customWidth="1"/>
    <col min="1797" max="1797" width="17" style="1606" customWidth="1"/>
    <col min="1798" max="1798" width="17.5703125" style="1606" customWidth="1"/>
    <col min="1799" max="1800" width="16.42578125" style="1606" customWidth="1"/>
    <col min="1801" max="1801" width="10.7109375" style="1606" customWidth="1"/>
    <col min="1802" max="1802" width="12.85546875" style="1606" customWidth="1"/>
    <col min="1803" max="1803" width="18.42578125" style="1606" customWidth="1"/>
    <col min="1804" max="1804" width="30" style="1606" bestFit="1" customWidth="1"/>
    <col min="1805" max="1806" width="18.42578125" style="1606" customWidth="1"/>
    <col min="1807" max="2046" width="9.140625" style="1606"/>
    <col min="2047" max="2047" width="5.85546875" style="1606" customWidth="1"/>
    <col min="2048" max="2048" width="52.42578125" style="1606" customWidth="1"/>
    <col min="2049" max="2050" width="16.42578125" style="1606" customWidth="1"/>
    <col min="2051" max="2052" width="0" style="1606" hidden="1" customWidth="1"/>
    <col min="2053" max="2053" width="17" style="1606" customWidth="1"/>
    <col min="2054" max="2054" width="17.5703125" style="1606" customWidth="1"/>
    <col min="2055" max="2056" width="16.42578125" style="1606" customWidth="1"/>
    <col min="2057" max="2057" width="10.7109375" style="1606" customWidth="1"/>
    <col min="2058" max="2058" width="12.85546875" style="1606" customWidth="1"/>
    <col min="2059" max="2059" width="18.42578125" style="1606" customWidth="1"/>
    <col min="2060" max="2060" width="30" style="1606" bestFit="1" customWidth="1"/>
    <col min="2061" max="2062" width="18.42578125" style="1606" customWidth="1"/>
    <col min="2063" max="2302" width="9.140625" style="1606"/>
    <col min="2303" max="2303" width="5.85546875" style="1606" customWidth="1"/>
    <col min="2304" max="2304" width="52.42578125" style="1606" customWidth="1"/>
    <col min="2305" max="2306" width="16.42578125" style="1606" customWidth="1"/>
    <col min="2307" max="2308" width="0" style="1606" hidden="1" customWidth="1"/>
    <col min="2309" max="2309" width="17" style="1606" customWidth="1"/>
    <col min="2310" max="2310" width="17.5703125" style="1606" customWidth="1"/>
    <col min="2311" max="2312" width="16.42578125" style="1606" customWidth="1"/>
    <col min="2313" max="2313" width="10.7109375" style="1606" customWidth="1"/>
    <col min="2314" max="2314" width="12.85546875" style="1606" customWidth="1"/>
    <col min="2315" max="2315" width="18.42578125" style="1606" customWidth="1"/>
    <col min="2316" max="2316" width="30" style="1606" bestFit="1" customWidth="1"/>
    <col min="2317" max="2318" width="18.42578125" style="1606" customWidth="1"/>
    <col min="2319" max="2558" width="9.140625" style="1606"/>
    <col min="2559" max="2559" width="5.85546875" style="1606" customWidth="1"/>
    <col min="2560" max="2560" width="52.42578125" style="1606" customWidth="1"/>
    <col min="2561" max="2562" width="16.42578125" style="1606" customWidth="1"/>
    <col min="2563" max="2564" width="0" style="1606" hidden="1" customWidth="1"/>
    <col min="2565" max="2565" width="17" style="1606" customWidth="1"/>
    <col min="2566" max="2566" width="17.5703125" style="1606" customWidth="1"/>
    <col min="2567" max="2568" width="16.42578125" style="1606" customWidth="1"/>
    <col min="2569" max="2569" width="10.7109375" style="1606" customWidth="1"/>
    <col min="2570" max="2570" width="12.85546875" style="1606" customWidth="1"/>
    <col min="2571" max="2571" width="18.42578125" style="1606" customWidth="1"/>
    <col min="2572" max="2572" width="30" style="1606" bestFit="1" customWidth="1"/>
    <col min="2573" max="2574" width="18.42578125" style="1606" customWidth="1"/>
    <col min="2575" max="2814" width="9.140625" style="1606"/>
    <col min="2815" max="2815" width="5.85546875" style="1606" customWidth="1"/>
    <col min="2816" max="2816" width="52.42578125" style="1606" customWidth="1"/>
    <col min="2817" max="2818" width="16.42578125" style="1606" customWidth="1"/>
    <col min="2819" max="2820" width="0" style="1606" hidden="1" customWidth="1"/>
    <col min="2821" max="2821" width="17" style="1606" customWidth="1"/>
    <col min="2822" max="2822" width="17.5703125" style="1606" customWidth="1"/>
    <col min="2823" max="2824" width="16.42578125" style="1606" customWidth="1"/>
    <col min="2825" max="2825" width="10.7109375" style="1606" customWidth="1"/>
    <col min="2826" max="2826" width="12.85546875" style="1606" customWidth="1"/>
    <col min="2827" max="2827" width="18.42578125" style="1606" customWidth="1"/>
    <col min="2828" max="2828" width="30" style="1606" bestFit="1" customWidth="1"/>
    <col min="2829" max="2830" width="18.42578125" style="1606" customWidth="1"/>
    <col min="2831" max="3070" width="9.140625" style="1606"/>
    <col min="3071" max="3071" width="5.85546875" style="1606" customWidth="1"/>
    <col min="3072" max="3072" width="52.42578125" style="1606" customWidth="1"/>
    <col min="3073" max="3074" width="16.42578125" style="1606" customWidth="1"/>
    <col min="3075" max="3076" width="0" style="1606" hidden="1" customWidth="1"/>
    <col min="3077" max="3077" width="17" style="1606" customWidth="1"/>
    <col min="3078" max="3078" width="17.5703125" style="1606" customWidth="1"/>
    <col min="3079" max="3080" width="16.42578125" style="1606" customWidth="1"/>
    <col min="3081" max="3081" width="10.7109375" style="1606" customWidth="1"/>
    <col min="3082" max="3082" width="12.85546875" style="1606" customWidth="1"/>
    <col min="3083" max="3083" width="18.42578125" style="1606" customWidth="1"/>
    <col min="3084" max="3084" width="30" style="1606" bestFit="1" customWidth="1"/>
    <col min="3085" max="3086" width="18.42578125" style="1606" customWidth="1"/>
    <col min="3087" max="3326" width="9.140625" style="1606"/>
    <col min="3327" max="3327" width="5.85546875" style="1606" customWidth="1"/>
    <col min="3328" max="3328" width="52.42578125" style="1606" customWidth="1"/>
    <col min="3329" max="3330" width="16.42578125" style="1606" customWidth="1"/>
    <col min="3331" max="3332" width="0" style="1606" hidden="1" customWidth="1"/>
    <col min="3333" max="3333" width="17" style="1606" customWidth="1"/>
    <col min="3334" max="3334" width="17.5703125" style="1606" customWidth="1"/>
    <col min="3335" max="3336" width="16.42578125" style="1606" customWidth="1"/>
    <col min="3337" max="3337" width="10.7109375" style="1606" customWidth="1"/>
    <col min="3338" max="3338" width="12.85546875" style="1606" customWidth="1"/>
    <col min="3339" max="3339" width="18.42578125" style="1606" customWidth="1"/>
    <col min="3340" max="3340" width="30" style="1606" bestFit="1" customWidth="1"/>
    <col min="3341" max="3342" width="18.42578125" style="1606" customWidth="1"/>
    <col min="3343" max="3582" width="9.140625" style="1606"/>
    <col min="3583" max="3583" width="5.85546875" style="1606" customWidth="1"/>
    <col min="3584" max="3584" width="52.42578125" style="1606" customWidth="1"/>
    <col min="3585" max="3586" width="16.42578125" style="1606" customWidth="1"/>
    <col min="3587" max="3588" width="0" style="1606" hidden="1" customWidth="1"/>
    <col min="3589" max="3589" width="17" style="1606" customWidth="1"/>
    <col min="3590" max="3590" width="17.5703125" style="1606" customWidth="1"/>
    <col min="3591" max="3592" width="16.42578125" style="1606" customWidth="1"/>
    <col min="3593" max="3593" width="10.7109375" style="1606" customWidth="1"/>
    <col min="3594" max="3594" width="12.85546875" style="1606" customWidth="1"/>
    <col min="3595" max="3595" width="18.42578125" style="1606" customWidth="1"/>
    <col min="3596" max="3596" width="30" style="1606" bestFit="1" customWidth="1"/>
    <col min="3597" max="3598" width="18.42578125" style="1606" customWidth="1"/>
    <col min="3599" max="3838" width="9.140625" style="1606"/>
    <col min="3839" max="3839" width="5.85546875" style="1606" customWidth="1"/>
    <col min="3840" max="3840" width="52.42578125" style="1606" customWidth="1"/>
    <col min="3841" max="3842" width="16.42578125" style="1606" customWidth="1"/>
    <col min="3843" max="3844" width="0" style="1606" hidden="1" customWidth="1"/>
    <col min="3845" max="3845" width="17" style="1606" customWidth="1"/>
    <col min="3846" max="3846" width="17.5703125" style="1606" customWidth="1"/>
    <col min="3847" max="3848" width="16.42578125" style="1606" customWidth="1"/>
    <col min="3849" max="3849" width="10.7109375" style="1606" customWidth="1"/>
    <col min="3850" max="3850" width="12.85546875" style="1606" customWidth="1"/>
    <col min="3851" max="3851" width="18.42578125" style="1606" customWidth="1"/>
    <col min="3852" max="3852" width="30" style="1606" bestFit="1" customWidth="1"/>
    <col min="3853" max="3854" width="18.42578125" style="1606" customWidth="1"/>
    <col min="3855" max="4094" width="9.140625" style="1606"/>
    <col min="4095" max="4095" width="5.85546875" style="1606" customWidth="1"/>
    <col min="4096" max="4096" width="52.42578125" style="1606" customWidth="1"/>
    <col min="4097" max="4098" width="16.42578125" style="1606" customWidth="1"/>
    <col min="4099" max="4100" width="0" style="1606" hidden="1" customWidth="1"/>
    <col min="4101" max="4101" width="17" style="1606" customWidth="1"/>
    <col min="4102" max="4102" width="17.5703125" style="1606" customWidth="1"/>
    <col min="4103" max="4104" width="16.42578125" style="1606" customWidth="1"/>
    <col min="4105" max="4105" width="10.7109375" style="1606" customWidth="1"/>
    <col min="4106" max="4106" width="12.85546875" style="1606" customWidth="1"/>
    <col min="4107" max="4107" width="18.42578125" style="1606" customWidth="1"/>
    <col min="4108" max="4108" width="30" style="1606" bestFit="1" customWidth="1"/>
    <col min="4109" max="4110" width="18.42578125" style="1606" customWidth="1"/>
    <col min="4111" max="4350" width="9.140625" style="1606"/>
    <col min="4351" max="4351" width="5.85546875" style="1606" customWidth="1"/>
    <col min="4352" max="4352" width="52.42578125" style="1606" customWidth="1"/>
    <col min="4353" max="4354" width="16.42578125" style="1606" customWidth="1"/>
    <col min="4355" max="4356" width="0" style="1606" hidden="1" customWidth="1"/>
    <col min="4357" max="4357" width="17" style="1606" customWidth="1"/>
    <col min="4358" max="4358" width="17.5703125" style="1606" customWidth="1"/>
    <col min="4359" max="4360" width="16.42578125" style="1606" customWidth="1"/>
    <col min="4361" max="4361" width="10.7109375" style="1606" customWidth="1"/>
    <col min="4362" max="4362" width="12.85546875" style="1606" customWidth="1"/>
    <col min="4363" max="4363" width="18.42578125" style="1606" customWidth="1"/>
    <col min="4364" max="4364" width="30" style="1606" bestFit="1" customWidth="1"/>
    <col min="4365" max="4366" width="18.42578125" style="1606" customWidth="1"/>
    <col min="4367" max="4606" width="9.140625" style="1606"/>
    <col min="4607" max="4607" width="5.85546875" style="1606" customWidth="1"/>
    <col min="4608" max="4608" width="52.42578125" style="1606" customWidth="1"/>
    <col min="4609" max="4610" width="16.42578125" style="1606" customWidth="1"/>
    <col min="4611" max="4612" width="0" style="1606" hidden="1" customWidth="1"/>
    <col min="4613" max="4613" width="17" style="1606" customWidth="1"/>
    <col min="4614" max="4614" width="17.5703125" style="1606" customWidth="1"/>
    <col min="4615" max="4616" width="16.42578125" style="1606" customWidth="1"/>
    <col min="4617" max="4617" width="10.7109375" style="1606" customWidth="1"/>
    <col min="4618" max="4618" width="12.85546875" style="1606" customWidth="1"/>
    <col min="4619" max="4619" width="18.42578125" style="1606" customWidth="1"/>
    <col min="4620" max="4620" width="30" style="1606" bestFit="1" customWidth="1"/>
    <col min="4621" max="4622" width="18.42578125" style="1606" customWidth="1"/>
    <col min="4623" max="4862" width="9.140625" style="1606"/>
    <col min="4863" max="4863" width="5.85546875" style="1606" customWidth="1"/>
    <col min="4864" max="4864" width="52.42578125" style="1606" customWidth="1"/>
    <col min="4865" max="4866" width="16.42578125" style="1606" customWidth="1"/>
    <col min="4867" max="4868" width="0" style="1606" hidden="1" customWidth="1"/>
    <col min="4869" max="4869" width="17" style="1606" customWidth="1"/>
    <col min="4870" max="4870" width="17.5703125" style="1606" customWidth="1"/>
    <col min="4871" max="4872" width="16.42578125" style="1606" customWidth="1"/>
    <col min="4873" max="4873" width="10.7109375" style="1606" customWidth="1"/>
    <col min="4874" max="4874" width="12.85546875" style="1606" customWidth="1"/>
    <col min="4875" max="4875" width="18.42578125" style="1606" customWidth="1"/>
    <col min="4876" max="4876" width="30" style="1606" bestFit="1" customWidth="1"/>
    <col min="4877" max="4878" width="18.42578125" style="1606" customWidth="1"/>
    <col min="4879" max="5118" width="9.140625" style="1606"/>
    <col min="5119" max="5119" width="5.85546875" style="1606" customWidth="1"/>
    <col min="5120" max="5120" width="52.42578125" style="1606" customWidth="1"/>
    <col min="5121" max="5122" width="16.42578125" style="1606" customWidth="1"/>
    <col min="5123" max="5124" width="0" style="1606" hidden="1" customWidth="1"/>
    <col min="5125" max="5125" width="17" style="1606" customWidth="1"/>
    <col min="5126" max="5126" width="17.5703125" style="1606" customWidth="1"/>
    <col min="5127" max="5128" width="16.42578125" style="1606" customWidth="1"/>
    <col min="5129" max="5129" width="10.7109375" style="1606" customWidth="1"/>
    <col min="5130" max="5130" width="12.85546875" style="1606" customWidth="1"/>
    <col min="5131" max="5131" width="18.42578125" style="1606" customWidth="1"/>
    <col min="5132" max="5132" width="30" style="1606" bestFit="1" customWidth="1"/>
    <col min="5133" max="5134" width="18.42578125" style="1606" customWidth="1"/>
    <col min="5135" max="5374" width="9.140625" style="1606"/>
    <col min="5375" max="5375" width="5.85546875" style="1606" customWidth="1"/>
    <col min="5376" max="5376" width="52.42578125" style="1606" customWidth="1"/>
    <col min="5377" max="5378" width="16.42578125" style="1606" customWidth="1"/>
    <col min="5379" max="5380" width="0" style="1606" hidden="1" customWidth="1"/>
    <col min="5381" max="5381" width="17" style="1606" customWidth="1"/>
    <col min="5382" max="5382" width="17.5703125" style="1606" customWidth="1"/>
    <col min="5383" max="5384" width="16.42578125" style="1606" customWidth="1"/>
    <col min="5385" max="5385" width="10.7109375" style="1606" customWidth="1"/>
    <col min="5386" max="5386" width="12.85546875" style="1606" customWidth="1"/>
    <col min="5387" max="5387" width="18.42578125" style="1606" customWidth="1"/>
    <col min="5388" max="5388" width="30" style="1606" bestFit="1" customWidth="1"/>
    <col min="5389" max="5390" width="18.42578125" style="1606" customWidth="1"/>
    <col min="5391" max="5630" width="9.140625" style="1606"/>
    <col min="5631" max="5631" width="5.85546875" style="1606" customWidth="1"/>
    <col min="5632" max="5632" width="52.42578125" style="1606" customWidth="1"/>
    <col min="5633" max="5634" width="16.42578125" style="1606" customWidth="1"/>
    <col min="5635" max="5636" width="0" style="1606" hidden="1" customWidth="1"/>
    <col min="5637" max="5637" width="17" style="1606" customWidth="1"/>
    <col min="5638" max="5638" width="17.5703125" style="1606" customWidth="1"/>
    <col min="5639" max="5640" width="16.42578125" style="1606" customWidth="1"/>
    <col min="5641" max="5641" width="10.7109375" style="1606" customWidth="1"/>
    <col min="5642" max="5642" width="12.85546875" style="1606" customWidth="1"/>
    <col min="5643" max="5643" width="18.42578125" style="1606" customWidth="1"/>
    <col min="5644" max="5644" width="30" style="1606" bestFit="1" customWidth="1"/>
    <col min="5645" max="5646" width="18.42578125" style="1606" customWidth="1"/>
    <col min="5647" max="5886" width="9.140625" style="1606"/>
    <col min="5887" max="5887" width="5.85546875" style="1606" customWidth="1"/>
    <col min="5888" max="5888" width="52.42578125" style="1606" customWidth="1"/>
    <col min="5889" max="5890" width="16.42578125" style="1606" customWidth="1"/>
    <col min="5891" max="5892" width="0" style="1606" hidden="1" customWidth="1"/>
    <col min="5893" max="5893" width="17" style="1606" customWidth="1"/>
    <col min="5894" max="5894" width="17.5703125" style="1606" customWidth="1"/>
    <col min="5895" max="5896" width="16.42578125" style="1606" customWidth="1"/>
    <col min="5897" max="5897" width="10.7109375" style="1606" customWidth="1"/>
    <col min="5898" max="5898" width="12.85546875" style="1606" customWidth="1"/>
    <col min="5899" max="5899" width="18.42578125" style="1606" customWidth="1"/>
    <col min="5900" max="5900" width="30" style="1606" bestFit="1" customWidth="1"/>
    <col min="5901" max="5902" width="18.42578125" style="1606" customWidth="1"/>
    <col min="5903" max="6142" width="9.140625" style="1606"/>
    <col min="6143" max="6143" width="5.85546875" style="1606" customWidth="1"/>
    <col min="6144" max="6144" width="52.42578125" style="1606" customWidth="1"/>
    <col min="6145" max="6146" width="16.42578125" style="1606" customWidth="1"/>
    <col min="6147" max="6148" width="0" style="1606" hidden="1" customWidth="1"/>
    <col min="6149" max="6149" width="17" style="1606" customWidth="1"/>
    <col min="6150" max="6150" width="17.5703125" style="1606" customWidth="1"/>
    <col min="6151" max="6152" width="16.42578125" style="1606" customWidth="1"/>
    <col min="6153" max="6153" width="10.7109375" style="1606" customWidth="1"/>
    <col min="6154" max="6154" width="12.85546875" style="1606" customWidth="1"/>
    <col min="6155" max="6155" width="18.42578125" style="1606" customWidth="1"/>
    <col min="6156" max="6156" width="30" style="1606" bestFit="1" customWidth="1"/>
    <col min="6157" max="6158" width="18.42578125" style="1606" customWidth="1"/>
    <col min="6159" max="6398" width="9.140625" style="1606"/>
    <col min="6399" max="6399" width="5.85546875" style="1606" customWidth="1"/>
    <col min="6400" max="6400" width="52.42578125" style="1606" customWidth="1"/>
    <col min="6401" max="6402" width="16.42578125" style="1606" customWidth="1"/>
    <col min="6403" max="6404" width="0" style="1606" hidden="1" customWidth="1"/>
    <col min="6405" max="6405" width="17" style="1606" customWidth="1"/>
    <col min="6406" max="6406" width="17.5703125" style="1606" customWidth="1"/>
    <col min="6407" max="6408" width="16.42578125" style="1606" customWidth="1"/>
    <col min="6409" max="6409" width="10.7109375" style="1606" customWidth="1"/>
    <col min="6410" max="6410" width="12.85546875" style="1606" customWidth="1"/>
    <col min="6411" max="6411" width="18.42578125" style="1606" customWidth="1"/>
    <col min="6412" max="6412" width="30" style="1606" bestFit="1" customWidth="1"/>
    <col min="6413" max="6414" width="18.42578125" style="1606" customWidth="1"/>
    <col min="6415" max="6654" width="9.140625" style="1606"/>
    <col min="6655" max="6655" width="5.85546875" style="1606" customWidth="1"/>
    <col min="6656" max="6656" width="52.42578125" style="1606" customWidth="1"/>
    <col min="6657" max="6658" width="16.42578125" style="1606" customWidth="1"/>
    <col min="6659" max="6660" width="0" style="1606" hidden="1" customWidth="1"/>
    <col min="6661" max="6661" width="17" style="1606" customWidth="1"/>
    <col min="6662" max="6662" width="17.5703125" style="1606" customWidth="1"/>
    <col min="6663" max="6664" width="16.42578125" style="1606" customWidth="1"/>
    <col min="6665" max="6665" width="10.7109375" style="1606" customWidth="1"/>
    <col min="6666" max="6666" width="12.85546875" style="1606" customWidth="1"/>
    <col min="6667" max="6667" width="18.42578125" style="1606" customWidth="1"/>
    <col min="6668" max="6668" width="30" style="1606" bestFit="1" customWidth="1"/>
    <col min="6669" max="6670" width="18.42578125" style="1606" customWidth="1"/>
    <col min="6671" max="6910" width="9.140625" style="1606"/>
    <col min="6911" max="6911" width="5.85546875" style="1606" customWidth="1"/>
    <col min="6912" max="6912" width="52.42578125" style="1606" customWidth="1"/>
    <col min="6913" max="6914" width="16.42578125" style="1606" customWidth="1"/>
    <col min="6915" max="6916" width="0" style="1606" hidden="1" customWidth="1"/>
    <col min="6917" max="6917" width="17" style="1606" customWidth="1"/>
    <col min="6918" max="6918" width="17.5703125" style="1606" customWidth="1"/>
    <col min="6919" max="6920" width="16.42578125" style="1606" customWidth="1"/>
    <col min="6921" max="6921" width="10.7109375" style="1606" customWidth="1"/>
    <col min="6922" max="6922" width="12.85546875" style="1606" customWidth="1"/>
    <col min="6923" max="6923" width="18.42578125" style="1606" customWidth="1"/>
    <col min="6924" max="6924" width="30" style="1606" bestFit="1" customWidth="1"/>
    <col min="6925" max="6926" width="18.42578125" style="1606" customWidth="1"/>
    <col min="6927" max="7166" width="9.140625" style="1606"/>
    <col min="7167" max="7167" width="5.85546875" style="1606" customWidth="1"/>
    <col min="7168" max="7168" width="52.42578125" style="1606" customWidth="1"/>
    <col min="7169" max="7170" width="16.42578125" style="1606" customWidth="1"/>
    <col min="7171" max="7172" width="0" style="1606" hidden="1" customWidth="1"/>
    <col min="7173" max="7173" width="17" style="1606" customWidth="1"/>
    <col min="7174" max="7174" width="17.5703125" style="1606" customWidth="1"/>
    <col min="7175" max="7176" width="16.42578125" style="1606" customWidth="1"/>
    <col min="7177" max="7177" width="10.7109375" style="1606" customWidth="1"/>
    <col min="7178" max="7178" width="12.85546875" style="1606" customWidth="1"/>
    <col min="7179" max="7179" width="18.42578125" style="1606" customWidth="1"/>
    <col min="7180" max="7180" width="30" style="1606" bestFit="1" customWidth="1"/>
    <col min="7181" max="7182" width="18.42578125" style="1606" customWidth="1"/>
    <col min="7183" max="7422" width="9.140625" style="1606"/>
    <col min="7423" max="7423" width="5.85546875" style="1606" customWidth="1"/>
    <col min="7424" max="7424" width="52.42578125" style="1606" customWidth="1"/>
    <col min="7425" max="7426" width="16.42578125" style="1606" customWidth="1"/>
    <col min="7427" max="7428" width="0" style="1606" hidden="1" customWidth="1"/>
    <col min="7429" max="7429" width="17" style="1606" customWidth="1"/>
    <col min="7430" max="7430" width="17.5703125" style="1606" customWidth="1"/>
    <col min="7431" max="7432" width="16.42578125" style="1606" customWidth="1"/>
    <col min="7433" max="7433" width="10.7109375" style="1606" customWidth="1"/>
    <col min="7434" max="7434" width="12.85546875" style="1606" customWidth="1"/>
    <col min="7435" max="7435" width="18.42578125" style="1606" customWidth="1"/>
    <col min="7436" max="7436" width="30" style="1606" bestFit="1" customWidth="1"/>
    <col min="7437" max="7438" width="18.42578125" style="1606" customWidth="1"/>
    <col min="7439" max="7678" width="9.140625" style="1606"/>
    <col min="7679" max="7679" width="5.85546875" style="1606" customWidth="1"/>
    <col min="7680" max="7680" width="52.42578125" style="1606" customWidth="1"/>
    <col min="7681" max="7682" width="16.42578125" style="1606" customWidth="1"/>
    <col min="7683" max="7684" width="0" style="1606" hidden="1" customWidth="1"/>
    <col min="7685" max="7685" width="17" style="1606" customWidth="1"/>
    <col min="7686" max="7686" width="17.5703125" style="1606" customWidth="1"/>
    <col min="7687" max="7688" width="16.42578125" style="1606" customWidth="1"/>
    <col min="7689" max="7689" width="10.7109375" style="1606" customWidth="1"/>
    <col min="7690" max="7690" width="12.85546875" style="1606" customWidth="1"/>
    <col min="7691" max="7691" width="18.42578125" style="1606" customWidth="1"/>
    <col min="7692" max="7692" width="30" style="1606" bestFit="1" customWidth="1"/>
    <col min="7693" max="7694" width="18.42578125" style="1606" customWidth="1"/>
    <col min="7695" max="7934" width="9.140625" style="1606"/>
    <col min="7935" max="7935" width="5.85546875" style="1606" customWidth="1"/>
    <col min="7936" max="7936" width="52.42578125" style="1606" customWidth="1"/>
    <col min="7937" max="7938" width="16.42578125" style="1606" customWidth="1"/>
    <col min="7939" max="7940" width="0" style="1606" hidden="1" customWidth="1"/>
    <col min="7941" max="7941" width="17" style="1606" customWidth="1"/>
    <col min="7942" max="7942" width="17.5703125" style="1606" customWidth="1"/>
    <col min="7943" max="7944" width="16.42578125" style="1606" customWidth="1"/>
    <col min="7945" max="7945" width="10.7109375" style="1606" customWidth="1"/>
    <col min="7946" max="7946" width="12.85546875" style="1606" customWidth="1"/>
    <col min="7947" max="7947" width="18.42578125" style="1606" customWidth="1"/>
    <col min="7948" max="7948" width="30" style="1606" bestFit="1" customWidth="1"/>
    <col min="7949" max="7950" width="18.42578125" style="1606" customWidth="1"/>
    <col min="7951" max="8190" width="9.140625" style="1606"/>
    <col min="8191" max="8191" width="5.85546875" style="1606" customWidth="1"/>
    <col min="8192" max="8192" width="52.42578125" style="1606" customWidth="1"/>
    <col min="8193" max="8194" width="16.42578125" style="1606" customWidth="1"/>
    <col min="8195" max="8196" width="0" style="1606" hidden="1" customWidth="1"/>
    <col min="8197" max="8197" width="17" style="1606" customWidth="1"/>
    <col min="8198" max="8198" width="17.5703125" style="1606" customWidth="1"/>
    <col min="8199" max="8200" width="16.42578125" style="1606" customWidth="1"/>
    <col min="8201" max="8201" width="10.7109375" style="1606" customWidth="1"/>
    <col min="8202" max="8202" width="12.85546875" style="1606" customWidth="1"/>
    <col min="8203" max="8203" width="18.42578125" style="1606" customWidth="1"/>
    <col min="8204" max="8204" width="30" style="1606" bestFit="1" customWidth="1"/>
    <col min="8205" max="8206" width="18.42578125" style="1606" customWidth="1"/>
    <col min="8207" max="8446" width="9.140625" style="1606"/>
    <col min="8447" max="8447" width="5.85546875" style="1606" customWidth="1"/>
    <col min="8448" max="8448" width="52.42578125" style="1606" customWidth="1"/>
    <col min="8449" max="8450" width="16.42578125" style="1606" customWidth="1"/>
    <col min="8451" max="8452" width="0" style="1606" hidden="1" customWidth="1"/>
    <col min="8453" max="8453" width="17" style="1606" customWidth="1"/>
    <col min="8454" max="8454" width="17.5703125" style="1606" customWidth="1"/>
    <col min="8455" max="8456" width="16.42578125" style="1606" customWidth="1"/>
    <col min="8457" max="8457" width="10.7109375" style="1606" customWidth="1"/>
    <col min="8458" max="8458" width="12.85546875" style="1606" customWidth="1"/>
    <col min="8459" max="8459" width="18.42578125" style="1606" customWidth="1"/>
    <col min="8460" max="8460" width="30" style="1606" bestFit="1" customWidth="1"/>
    <col min="8461" max="8462" width="18.42578125" style="1606" customWidth="1"/>
    <col min="8463" max="8702" width="9.140625" style="1606"/>
    <col min="8703" max="8703" width="5.85546875" style="1606" customWidth="1"/>
    <col min="8704" max="8704" width="52.42578125" style="1606" customWidth="1"/>
    <col min="8705" max="8706" width="16.42578125" style="1606" customWidth="1"/>
    <col min="8707" max="8708" width="0" style="1606" hidden="1" customWidth="1"/>
    <col min="8709" max="8709" width="17" style="1606" customWidth="1"/>
    <col min="8710" max="8710" width="17.5703125" style="1606" customWidth="1"/>
    <col min="8711" max="8712" width="16.42578125" style="1606" customWidth="1"/>
    <col min="8713" max="8713" width="10.7109375" style="1606" customWidth="1"/>
    <col min="8714" max="8714" width="12.85546875" style="1606" customWidth="1"/>
    <col min="8715" max="8715" width="18.42578125" style="1606" customWidth="1"/>
    <col min="8716" max="8716" width="30" style="1606" bestFit="1" customWidth="1"/>
    <col min="8717" max="8718" width="18.42578125" style="1606" customWidth="1"/>
    <col min="8719" max="8958" width="9.140625" style="1606"/>
    <col min="8959" max="8959" width="5.85546875" style="1606" customWidth="1"/>
    <col min="8960" max="8960" width="52.42578125" style="1606" customWidth="1"/>
    <col min="8961" max="8962" width="16.42578125" style="1606" customWidth="1"/>
    <col min="8963" max="8964" width="0" style="1606" hidden="1" customWidth="1"/>
    <col min="8965" max="8965" width="17" style="1606" customWidth="1"/>
    <col min="8966" max="8966" width="17.5703125" style="1606" customWidth="1"/>
    <col min="8967" max="8968" width="16.42578125" style="1606" customWidth="1"/>
    <col min="8969" max="8969" width="10.7109375" style="1606" customWidth="1"/>
    <col min="8970" max="8970" width="12.85546875" style="1606" customWidth="1"/>
    <col min="8971" max="8971" width="18.42578125" style="1606" customWidth="1"/>
    <col min="8972" max="8972" width="30" style="1606" bestFit="1" customWidth="1"/>
    <col min="8973" max="8974" width="18.42578125" style="1606" customWidth="1"/>
    <col min="8975" max="9214" width="9.140625" style="1606"/>
    <col min="9215" max="9215" width="5.85546875" style="1606" customWidth="1"/>
    <col min="9216" max="9216" width="52.42578125" style="1606" customWidth="1"/>
    <col min="9217" max="9218" width="16.42578125" style="1606" customWidth="1"/>
    <col min="9219" max="9220" width="0" style="1606" hidden="1" customWidth="1"/>
    <col min="9221" max="9221" width="17" style="1606" customWidth="1"/>
    <col min="9222" max="9222" width="17.5703125" style="1606" customWidth="1"/>
    <col min="9223" max="9224" width="16.42578125" style="1606" customWidth="1"/>
    <col min="9225" max="9225" width="10.7109375" style="1606" customWidth="1"/>
    <col min="9226" max="9226" width="12.85546875" style="1606" customWidth="1"/>
    <col min="9227" max="9227" width="18.42578125" style="1606" customWidth="1"/>
    <col min="9228" max="9228" width="30" style="1606" bestFit="1" customWidth="1"/>
    <col min="9229" max="9230" width="18.42578125" style="1606" customWidth="1"/>
    <col min="9231" max="9470" width="9.140625" style="1606"/>
    <col min="9471" max="9471" width="5.85546875" style="1606" customWidth="1"/>
    <col min="9472" max="9472" width="52.42578125" style="1606" customWidth="1"/>
    <col min="9473" max="9474" width="16.42578125" style="1606" customWidth="1"/>
    <col min="9475" max="9476" width="0" style="1606" hidden="1" customWidth="1"/>
    <col min="9477" max="9477" width="17" style="1606" customWidth="1"/>
    <col min="9478" max="9478" width="17.5703125" style="1606" customWidth="1"/>
    <col min="9479" max="9480" width="16.42578125" style="1606" customWidth="1"/>
    <col min="9481" max="9481" width="10.7109375" style="1606" customWidth="1"/>
    <col min="9482" max="9482" width="12.85546875" style="1606" customWidth="1"/>
    <col min="9483" max="9483" width="18.42578125" style="1606" customWidth="1"/>
    <col min="9484" max="9484" width="30" style="1606" bestFit="1" customWidth="1"/>
    <col min="9485" max="9486" width="18.42578125" style="1606" customWidth="1"/>
    <col min="9487" max="9726" width="9.140625" style="1606"/>
    <col min="9727" max="9727" width="5.85546875" style="1606" customWidth="1"/>
    <col min="9728" max="9728" width="52.42578125" style="1606" customWidth="1"/>
    <col min="9729" max="9730" width="16.42578125" style="1606" customWidth="1"/>
    <col min="9731" max="9732" width="0" style="1606" hidden="1" customWidth="1"/>
    <col min="9733" max="9733" width="17" style="1606" customWidth="1"/>
    <col min="9734" max="9734" width="17.5703125" style="1606" customWidth="1"/>
    <col min="9735" max="9736" width="16.42578125" style="1606" customWidth="1"/>
    <col min="9737" max="9737" width="10.7109375" style="1606" customWidth="1"/>
    <col min="9738" max="9738" width="12.85546875" style="1606" customWidth="1"/>
    <col min="9739" max="9739" width="18.42578125" style="1606" customWidth="1"/>
    <col min="9740" max="9740" width="30" style="1606" bestFit="1" customWidth="1"/>
    <col min="9741" max="9742" width="18.42578125" style="1606" customWidth="1"/>
    <col min="9743" max="9982" width="9.140625" style="1606"/>
    <col min="9983" max="9983" width="5.85546875" style="1606" customWidth="1"/>
    <col min="9984" max="9984" width="52.42578125" style="1606" customWidth="1"/>
    <col min="9985" max="9986" width="16.42578125" style="1606" customWidth="1"/>
    <col min="9987" max="9988" width="0" style="1606" hidden="1" customWidth="1"/>
    <col min="9989" max="9989" width="17" style="1606" customWidth="1"/>
    <col min="9990" max="9990" width="17.5703125" style="1606" customWidth="1"/>
    <col min="9991" max="9992" width="16.42578125" style="1606" customWidth="1"/>
    <col min="9993" max="9993" width="10.7109375" style="1606" customWidth="1"/>
    <col min="9994" max="9994" width="12.85546875" style="1606" customWidth="1"/>
    <col min="9995" max="9995" width="18.42578125" style="1606" customWidth="1"/>
    <col min="9996" max="9996" width="30" style="1606" bestFit="1" customWidth="1"/>
    <col min="9997" max="9998" width="18.42578125" style="1606" customWidth="1"/>
    <col min="9999" max="10238" width="9.140625" style="1606"/>
    <col min="10239" max="10239" width="5.85546875" style="1606" customWidth="1"/>
    <col min="10240" max="10240" width="52.42578125" style="1606" customWidth="1"/>
    <col min="10241" max="10242" width="16.42578125" style="1606" customWidth="1"/>
    <col min="10243" max="10244" width="0" style="1606" hidden="1" customWidth="1"/>
    <col min="10245" max="10245" width="17" style="1606" customWidth="1"/>
    <col min="10246" max="10246" width="17.5703125" style="1606" customWidth="1"/>
    <col min="10247" max="10248" width="16.42578125" style="1606" customWidth="1"/>
    <col min="10249" max="10249" width="10.7109375" style="1606" customWidth="1"/>
    <col min="10250" max="10250" width="12.85546875" style="1606" customWidth="1"/>
    <col min="10251" max="10251" width="18.42578125" style="1606" customWidth="1"/>
    <col min="10252" max="10252" width="30" style="1606" bestFit="1" customWidth="1"/>
    <col min="10253" max="10254" width="18.42578125" style="1606" customWidth="1"/>
    <col min="10255" max="10494" width="9.140625" style="1606"/>
    <col min="10495" max="10495" width="5.85546875" style="1606" customWidth="1"/>
    <col min="10496" max="10496" width="52.42578125" style="1606" customWidth="1"/>
    <col min="10497" max="10498" width="16.42578125" style="1606" customWidth="1"/>
    <col min="10499" max="10500" width="0" style="1606" hidden="1" customWidth="1"/>
    <col min="10501" max="10501" width="17" style="1606" customWidth="1"/>
    <col min="10502" max="10502" width="17.5703125" style="1606" customWidth="1"/>
    <col min="10503" max="10504" width="16.42578125" style="1606" customWidth="1"/>
    <col min="10505" max="10505" width="10.7109375" style="1606" customWidth="1"/>
    <col min="10506" max="10506" width="12.85546875" style="1606" customWidth="1"/>
    <col min="10507" max="10507" width="18.42578125" style="1606" customWidth="1"/>
    <col min="10508" max="10508" width="30" style="1606" bestFit="1" customWidth="1"/>
    <col min="10509" max="10510" width="18.42578125" style="1606" customWidth="1"/>
    <col min="10511" max="10750" width="9.140625" style="1606"/>
    <col min="10751" max="10751" width="5.85546875" style="1606" customWidth="1"/>
    <col min="10752" max="10752" width="52.42578125" style="1606" customWidth="1"/>
    <col min="10753" max="10754" width="16.42578125" style="1606" customWidth="1"/>
    <col min="10755" max="10756" width="0" style="1606" hidden="1" customWidth="1"/>
    <col min="10757" max="10757" width="17" style="1606" customWidth="1"/>
    <col min="10758" max="10758" width="17.5703125" style="1606" customWidth="1"/>
    <col min="10759" max="10760" width="16.42578125" style="1606" customWidth="1"/>
    <col min="10761" max="10761" width="10.7109375" style="1606" customWidth="1"/>
    <col min="10762" max="10762" width="12.85546875" style="1606" customWidth="1"/>
    <col min="10763" max="10763" width="18.42578125" style="1606" customWidth="1"/>
    <col min="10764" max="10764" width="30" style="1606" bestFit="1" customWidth="1"/>
    <col min="10765" max="10766" width="18.42578125" style="1606" customWidth="1"/>
    <col min="10767" max="11006" width="9.140625" style="1606"/>
    <col min="11007" max="11007" width="5.85546875" style="1606" customWidth="1"/>
    <col min="11008" max="11008" width="52.42578125" style="1606" customWidth="1"/>
    <col min="11009" max="11010" width="16.42578125" style="1606" customWidth="1"/>
    <col min="11011" max="11012" width="0" style="1606" hidden="1" customWidth="1"/>
    <col min="11013" max="11013" width="17" style="1606" customWidth="1"/>
    <col min="11014" max="11014" width="17.5703125" style="1606" customWidth="1"/>
    <col min="11015" max="11016" width="16.42578125" style="1606" customWidth="1"/>
    <col min="11017" max="11017" width="10.7109375" style="1606" customWidth="1"/>
    <col min="11018" max="11018" width="12.85546875" style="1606" customWidth="1"/>
    <col min="11019" max="11019" width="18.42578125" style="1606" customWidth="1"/>
    <col min="11020" max="11020" width="30" style="1606" bestFit="1" customWidth="1"/>
    <col min="11021" max="11022" width="18.42578125" style="1606" customWidth="1"/>
    <col min="11023" max="11262" width="9.140625" style="1606"/>
    <col min="11263" max="11263" width="5.85546875" style="1606" customWidth="1"/>
    <col min="11264" max="11264" width="52.42578125" style="1606" customWidth="1"/>
    <col min="11265" max="11266" width="16.42578125" style="1606" customWidth="1"/>
    <col min="11267" max="11268" width="0" style="1606" hidden="1" customWidth="1"/>
    <col min="11269" max="11269" width="17" style="1606" customWidth="1"/>
    <col min="11270" max="11270" width="17.5703125" style="1606" customWidth="1"/>
    <col min="11271" max="11272" width="16.42578125" style="1606" customWidth="1"/>
    <col min="11273" max="11273" width="10.7109375" style="1606" customWidth="1"/>
    <col min="11274" max="11274" width="12.85546875" style="1606" customWidth="1"/>
    <col min="11275" max="11275" width="18.42578125" style="1606" customWidth="1"/>
    <col min="11276" max="11276" width="30" style="1606" bestFit="1" customWidth="1"/>
    <col min="11277" max="11278" width="18.42578125" style="1606" customWidth="1"/>
    <col min="11279" max="11518" width="9.140625" style="1606"/>
    <col min="11519" max="11519" width="5.85546875" style="1606" customWidth="1"/>
    <col min="11520" max="11520" width="52.42578125" style="1606" customWidth="1"/>
    <col min="11521" max="11522" width="16.42578125" style="1606" customWidth="1"/>
    <col min="11523" max="11524" width="0" style="1606" hidden="1" customWidth="1"/>
    <col min="11525" max="11525" width="17" style="1606" customWidth="1"/>
    <col min="11526" max="11526" width="17.5703125" style="1606" customWidth="1"/>
    <col min="11527" max="11528" width="16.42578125" style="1606" customWidth="1"/>
    <col min="11529" max="11529" width="10.7109375" style="1606" customWidth="1"/>
    <col min="11530" max="11530" width="12.85546875" style="1606" customWidth="1"/>
    <col min="11531" max="11531" width="18.42578125" style="1606" customWidth="1"/>
    <col min="11532" max="11532" width="30" style="1606" bestFit="1" customWidth="1"/>
    <col min="11533" max="11534" width="18.42578125" style="1606" customWidth="1"/>
    <col min="11535" max="11774" width="9.140625" style="1606"/>
    <col min="11775" max="11775" width="5.85546875" style="1606" customWidth="1"/>
    <col min="11776" max="11776" width="52.42578125" style="1606" customWidth="1"/>
    <col min="11777" max="11778" width="16.42578125" style="1606" customWidth="1"/>
    <col min="11779" max="11780" width="0" style="1606" hidden="1" customWidth="1"/>
    <col min="11781" max="11781" width="17" style="1606" customWidth="1"/>
    <col min="11782" max="11782" width="17.5703125" style="1606" customWidth="1"/>
    <col min="11783" max="11784" width="16.42578125" style="1606" customWidth="1"/>
    <col min="11785" max="11785" width="10.7109375" style="1606" customWidth="1"/>
    <col min="11786" max="11786" width="12.85546875" style="1606" customWidth="1"/>
    <col min="11787" max="11787" width="18.42578125" style="1606" customWidth="1"/>
    <col min="11788" max="11788" width="30" style="1606" bestFit="1" customWidth="1"/>
    <col min="11789" max="11790" width="18.42578125" style="1606" customWidth="1"/>
    <col min="11791" max="12030" width="9.140625" style="1606"/>
    <col min="12031" max="12031" width="5.85546875" style="1606" customWidth="1"/>
    <col min="12032" max="12032" width="52.42578125" style="1606" customWidth="1"/>
    <col min="12033" max="12034" width="16.42578125" style="1606" customWidth="1"/>
    <col min="12035" max="12036" width="0" style="1606" hidden="1" customWidth="1"/>
    <col min="12037" max="12037" width="17" style="1606" customWidth="1"/>
    <col min="12038" max="12038" width="17.5703125" style="1606" customWidth="1"/>
    <col min="12039" max="12040" width="16.42578125" style="1606" customWidth="1"/>
    <col min="12041" max="12041" width="10.7109375" style="1606" customWidth="1"/>
    <col min="12042" max="12042" width="12.85546875" style="1606" customWidth="1"/>
    <col min="12043" max="12043" width="18.42578125" style="1606" customWidth="1"/>
    <col min="12044" max="12044" width="30" style="1606" bestFit="1" customWidth="1"/>
    <col min="12045" max="12046" width="18.42578125" style="1606" customWidth="1"/>
    <col min="12047" max="12286" width="9.140625" style="1606"/>
    <col min="12287" max="12287" width="5.85546875" style="1606" customWidth="1"/>
    <col min="12288" max="12288" width="52.42578125" style="1606" customWidth="1"/>
    <col min="12289" max="12290" width="16.42578125" style="1606" customWidth="1"/>
    <col min="12291" max="12292" width="0" style="1606" hidden="1" customWidth="1"/>
    <col min="12293" max="12293" width="17" style="1606" customWidth="1"/>
    <col min="12294" max="12294" width="17.5703125" style="1606" customWidth="1"/>
    <col min="12295" max="12296" width="16.42578125" style="1606" customWidth="1"/>
    <col min="12297" max="12297" width="10.7109375" style="1606" customWidth="1"/>
    <col min="12298" max="12298" width="12.85546875" style="1606" customWidth="1"/>
    <col min="12299" max="12299" width="18.42578125" style="1606" customWidth="1"/>
    <col min="12300" max="12300" width="30" style="1606" bestFit="1" customWidth="1"/>
    <col min="12301" max="12302" width="18.42578125" style="1606" customWidth="1"/>
    <col min="12303" max="12542" width="9.140625" style="1606"/>
    <col min="12543" max="12543" width="5.85546875" style="1606" customWidth="1"/>
    <col min="12544" max="12544" width="52.42578125" style="1606" customWidth="1"/>
    <col min="12545" max="12546" width="16.42578125" style="1606" customWidth="1"/>
    <col min="12547" max="12548" width="0" style="1606" hidden="1" customWidth="1"/>
    <col min="12549" max="12549" width="17" style="1606" customWidth="1"/>
    <col min="12550" max="12550" width="17.5703125" style="1606" customWidth="1"/>
    <col min="12551" max="12552" width="16.42578125" style="1606" customWidth="1"/>
    <col min="12553" max="12553" width="10.7109375" style="1606" customWidth="1"/>
    <col min="12554" max="12554" width="12.85546875" style="1606" customWidth="1"/>
    <col min="12555" max="12555" width="18.42578125" style="1606" customWidth="1"/>
    <col min="12556" max="12556" width="30" style="1606" bestFit="1" customWidth="1"/>
    <col min="12557" max="12558" width="18.42578125" style="1606" customWidth="1"/>
    <col min="12559" max="12798" width="9.140625" style="1606"/>
    <col min="12799" max="12799" width="5.85546875" style="1606" customWidth="1"/>
    <col min="12800" max="12800" width="52.42578125" style="1606" customWidth="1"/>
    <col min="12801" max="12802" width="16.42578125" style="1606" customWidth="1"/>
    <col min="12803" max="12804" width="0" style="1606" hidden="1" customWidth="1"/>
    <col min="12805" max="12805" width="17" style="1606" customWidth="1"/>
    <col min="12806" max="12806" width="17.5703125" style="1606" customWidth="1"/>
    <col min="12807" max="12808" width="16.42578125" style="1606" customWidth="1"/>
    <col min="12809" max="12809" width="10.7109375" style="1606" customWidth="1"/>
    <col min="12810" max="12810" width="12.85546875" style="1606" customWidth="1"/>
    <col min="12811" max="12811" width="18.42578125" style="1606" customWidth="1"/>
    <col min="12812" max="12812" width="30" style="1606" bestFit="1" customWidth="1"/>
    <col min="12813" max="12814" width="18.42578125" style="1606" customWidth="1"/>
    <col min="12815" max="13054" width="9.140625" style="1606"/>
    <col min="13055" max="13055" width="5.85546875" style="1606" customWidth="1"/>
    <col min="13056" max="13056" width="52.42578125" style="1606" customWidth="1"/>
    <col min="13057" max="13058" width="16.42578125" style="1606" customWidth="1"/>
    <col min="13059" max="13060" width="0" style="1606" hidden="1" customWidth="1"/>
    <col min="13061" max="13061" width="17" style="1606" customWidth="1"/>
    <col min="13062" max="13062" width="17.5703125" style="1606" customWidth="1"/>
    <col min="13063" max="13064" width="16.42578125" style="1606" customWidth="1"/>
    <col min="13065" max="13065" width="10.7109375" style="1606" customWidth="1"/>
    <col min="13066" max="13066" width="12.85546875" style="1606" customWidth="1"/>
    <col min="13067" max="13067" width="18.42578125" style="1606" customWidth="1"/>
    <col min="13068" max="13068" width="30" style="1606" bestFit="1" customWidth="1"/>
    <col min="13069" max="13070" width="18.42578125" style="1606" customWidth="1"/>
    <col min="13071" max="13310" width="9.140625" style="1606"/>
    <col min="13311" max="13311" width="5.85546875" style="1606" customWidth="1"/>
    <col min="13312" max="13312" width="52.42578125" style="1606" customWidth="1"/>
    <col min="13313" max="13314" width="16.42578125" style="1606" customWidth="1"/>
    <col min="13315" max="13316" width="0" style="1606" hidden="1" customWidth="1"/>
    <col min="13317" max="13317" width="17" style="1606" customWidth="1"/>
    <col min="13318" max="13318" width="17.5703125" style="1606" customWidth="1"/>
    <col min="13319" max="13320" width="16.42578125" style="1606" customWidth="1"/>
    <col min="13321" max="13321" width="10.7109375" style="1606" customWidth="1"/>
    <col min="13322" max="13322" width="12.85546875" style="1606" customWidth="1"/>
    <col min="13323" max="13323" width="18.42578125" style="1606" customWidth="1"/>
    <col min="13324" max="13324" width="30" style="1606" bestFit="1" customWidth="1"/>
    <col min="13325" max="13326" width="18.42578125" style="1606" customWidth="1"/>
    <col min="13327" max="13566" width="9.140625" style="1606"/>
    <col min="13567" max="13567" width="5.85546875" style="1606" customWidth="1"/>
    <col min="13568" max="13568" width="52.42578125" style="1606" customWidth="1"/>
    <col min="13569" max="13570" width="16.42578125" style="1606" customWidth="1"/>
    <col min="13571" max="13572" width="0" style="1606" hidden="1" customWidth="1"/>
    <col min="13573" max="13573" width="17" style="1606" customWidth="1"/>
    <col min="13574" max="13574" width="17.5703125" style="1606" customWidth="1"/>
    <col min="13575" max="13576" width="16.42578125" style="1606" customWidth="1"/>
    <col min="13577" max="13577" width="10.7109375" style="1606" customWidth="1"/>
    <col min="13578" max="13578" width="12.85546875" style="1606" customWidth="1"/>
    <col min="13579" max="13579" width="18.42578125" style="1606" customWidth="1"/>
    <col min="13580" max="13580" width="30" style="1606" bestFit="1" customWidth="1"/>
    <col min="13581" max="13582" width="18.42578125" style="1606" customWidth="1"/>
    <col min="13583" max="13822" width="9.140625" style="1606"/>
    <col min="13823" max="13823" width="5.85546875" style="1606" customWidth="1"/>
    <col min="13824" max="13824" width="52.42578125" style="1606" customWidth="1"/>
    <col min="13825" max="13826" width="16.42578125" style="1606" customWidth="1"/>
    <col min="13827" max="13828" width="0" style="1606" hidden="1" customWidth="1"/>
    <col min="13829" max="13829" width="17" style="1606" customWidth="1"/>
    <col min="13830" max="13830" width="17.5703125" style="1606" customWidth="1"/>
    <col min="13831" max="13832" width="16.42578125" style="1606" customWidth="1"/>
    <col min="13833" max="13833" width="10.7109375" style="1606" customWidth="1"/>
    <col min="13834" max="13834" width="12.85546875" style="1606" customWidth="1"/>
    <col min="13835" max="13835" width="18.42578125" style="1606" customWidth="1"/>
    <col min="13836" max="13836" width="30" style="1606" bestFit="1" customWidth="1"/>
    <col min="13837" max="13838" width="18.42578125" style="1606" customWidth="1"/>
    <col min="13839" max="14078" width="9.140625" style="1606"/>
    <col min="14079" max="14079" width="5.85546875" style="1606" customWidth="1"/>
    <col min="14080" max="14080" width="52.42578125" style="1606" customWidth="1"/>
    <col min="14081" max="14082" width="16.42578125" style="1606" customWidth="1"/>
    <col min="14083" max="14084" width="0" style="1606" hidden="1" customWidth="1"/>
    <col min="14085" max="14085" width="17" style="1606" customWidth="1"/>
    <col min="14086" max="14086" width="17.5703125" style="1606" customWidth="1"/>
    <col min="14087" max="14088" width="16.42578125" style="1606" customWidth="1"/>
    <col min="14089" max="14089" width="10.7109375" style="1606" customWidth="1"/>
    <col min="14090" max="14090" width="12.85546875" style="1606" customWidth="1"/>
    <col min="14091" max="14091" width="18.42578125" style="1606" customWidth="1"/>
    <col min="14092" max="14092" width="30" style="1606" bestFit="1" customWidth="1"/>
    <col min="14093" max="14094" width="18.42578125" style="1606" customWidth="1"/>
    <col min="14095" max="14334" width="9.140625" style="1606"/>
    <col min="14335" max="14335" width="5.85546875" style="1606" customWidth="1"/>
    <col min="14336" max="14336" width="52.42578125" style="1606" customWidth="1"/>
    <col min="14337" max="14338" width="16.42578125" style="1606" customWidth="1"/>
    <col min="14339" max="14340" width="0" style="1606" hidden="1" customWidth="1"/>
    <col min="14341" max="14341" width="17" style="1606" customWidth="1"/>
    <col min="14342" max="14342" width="17.5703125" style="1606" customWidth="1"/>
    <col min="14343" max="14344" width="16.42578125" style="1606" customWidth="1"/>
    <col min="14345" max="14345" width="10.7109375" style="1606" customWidth="1"/>
    <col min="14346" max="14346" width="12.85546875" style="1606" customWidth="1"/>
    <col min="14347" max="14347" width="18.42578125" style="1606" customWidth="1"/>
    <col min="14348" max="14348" width="30" style="1606" bestFit="1" customWidth="1"/>
    <col min="14349" max="14350" width="18.42578125" style="1606" customWidth="1"/>
    <col min="14351" max="14590" width="9.140625" style="1606"/>
    <col min="14591" max="14591" width="5.85546875" style="1606" customWidth="1"/>
    <col min="14592" max="14592" width="52.42578125" style="1606" customWidth="1"/>
    <col min="14593" max="14594" width="16.42578125" style="1606" customWidth="1"/>
    <col min="14595" max="14596" width="0" style="1606" hidden="1" customWidth="1"/>
    <col min="14597" max="14597" width="17" style="1606" customWidth="1"/>
    <col min="14598" max="14598" width="17.5703125" style="1606" customWidth="1"/>
    <col min="14599" max="14600" width="16.42578125" style="1606" customWidth="1"/>
    <col min="14601" max="14601" width="10.7109375" style="1606" customWidth="1"/>
    <col min="14602" max="14602" width="12.85546875" style="1606" customWidth="1"/>
    <col min="14603" max="14603" width="18.42578125" style="1606" customWidth="1"/>
    <col min="14604" max="14604" width="30" style="1606" bestFit="1" customWidth="1"/>
    <col min="14605" max="14606" width="18.42578125" style="1606" customWidth="1"/>
    <col min="14607" max="14846" width="9.140625" style="1606"/>
    <col min="14847" max="14847" width="5.85546875" style="1606" customWidth="1"/>
    <col min="14848" max="14848" width="52.42578125" style="1606" customWidth="1"/>
    <col min="14849" max="14850" width="16.42578125" style="1606" customWidth="1"/>
    <col min="14851" max="14852" width="0" style="1606" hidden="1" customWidth="1"/>
    <col min="14853" max="14853" width="17" style="1606" customWidth="1"/>
    <col min="14854" max="14854" width="17.5703125" style="1606" customWidth="1"/>
    <col min="14855" max="14856" width="16.42578125" style="1606" customWidth="1"/>
    <col min="14857" max="14857" width="10.7109375" style="1606" customWidth="1"/>
    <col min="14858" max="14858" width="12.85546875" style="1606" customWidth="1"/>
    <col min="14859" max="14859" width="18.42578125" style="1606" customWidth="1"/>
    <col min="14860" max="14860" width="30" style="1606" bestFit="1" customWidth="1"/>
    <col min="14861" max="14862" width="18.42578125" style="1606" customWidth="1"/>
    <col min="14863" max="15102" width="9.140625" style="1606"/>
    <col min="15103" max="15103" width="5.85546875" style="1606" customWidth="1"/>
    <col min="15104" max="15104" width="52.42578125" style="1606" customWidth="1"/>
    <col min="15105" max="15106" width="16.42578125" style="1606" customWidth="1"/>
    <col min="15107" max="15108" width="0" style="1606" hidden="1" customWidth="1"/>
    <col min="15109" max="15109" width="17" style="1606" customWidth="1"/>
    <col min="15110" max="15110" width="17.5703125" style="1606" customWidth="1"/>
    <col min="15111" max="15112" width="16.42578125" style="1606" customWidth="1"/>
    <col min="15113" max="15113" width="10.7109375" style="1606" customWidth="1"/>
    <col min="15114" max="15114" width="12.85546875" style="1606" customWidth="1"/>
    <col min="15115" max="15115" width="18.42578125" style="1606" customWidth="1"/>
    <col min="15116" max="15116" width="30" style="1606" bestFit="1" customWidth="1"/>
    <col min="15117" max="15118" width="18.42578125" style="1606" customWidth="1"/>
    <col min="15119" max="15358" width="9.140625" style="1606"/>
    <col min="15359" max="15359" width="5.85546875" style="1606" customWidth="1"/>
    <col min="15360" max="15360" width="52.42578125" style="1606" customWidth="1"/>
    <col min="15361" max="15362" width="16.42578125" style="1606" customWidth="1"/>
    <col min="15363" max="15364" width="0" style="1606" hidden="1" customWidth="1"/>
    <col min="15365" max="15365" width="17" style="1606" customWidth="1"/>
    <col min="15366" max="15366" width="17.5703125" style="1606" customWidth="1"/>
    <col min="15367" max="15368" width="16.42578125" style="1606" customWidth="1"/>
    <col min="15369" max="15369" width="10.7109375" style="1606" customWidth="1"/>
    <col min="15370" max="15370" width="12.85546875" style="1606" customWidth="1"/>
    <col min="15371" max="15371" width="18.42578125" style="1606" customWidth="1"/>
    <col min="15372" max="15372" width="30" style="1606" bestFit="1" customWidth="1"/>
    <col min="15373" max="15374" width="18.42578125" style="1606" customWidth="1"/>
    <col min="15375" max="15614" width="9.140625" style="1606"/>
    <col min="15615" max="15615" width="5.85546875" style="1606" customWidth="1"/>
    <col min="15616" max="15616" width="52.42578125" style="1606" customWidth="1"/>
    <col min="15617" max="15618" width="16.42578125" style="1606" customWidth="1"/>
    <col min="15619" max="15620" width="0" style="1606" hidden="1" customWidth="1"/>
    <col min="15621" max="15621" width="17" style="1606" customWidth="1"/>
    <col min="15622" max="15622" width="17.5703125" style="1606" customWidth="1"/>
    <col min="15623" max="15624" width="16.42578125" style="1606" customWidth="1"/>
    <col min="15625" max="15625" width="10.7109375" style="1606" customWidth="1"/>
    <col min="15626" max="15626" width="12.85546875" style="1606" customWidth="1"/>
    <col min="15627" max="15627" width="18.42578125" style="1606" customWidth="1"/>
    <col min="15628" max="15628" width="30" style="1606" bestFit="1" customWidth="1"/>
    <col min="15629" max="15630" width="18.42578125" style="1606" customWidth="1"/>
    <col min="15631" max="15870" width="9.140625" style="1606"/>
    <col min="15871" max="15871" width="5.85546875" style="1606" customWidth="1"/>
    <col min="15872" max="15872" width="52.42578125" style="1606" customWidth="1"/>
    <col min="15873" max="15874" width="16.42578125" style="1606" customWidth="1"/>
    <col min="15875" max="15876" width="0" style="1606" hidden="1" customWidth="1"/>
    <col min="15877" max="15877" width="17" style="1606" customWidth="1"/>
    <col min="15878" max="15878" width="17.5703125" style="1606" customWidth="1"/>
    <col min="15879" max="15880" width="16.42578125" style="1606" customWidth="1"/>
    <col min="15881" max="15881" width="10.7109375" style="1606" customWidth="1"/>
    <col min="15882" max="15882" width="12.85546875" style="1606" customWidth="1"/>
    <col min="15883" max="15883" width="18.42578125" style="1606" customWidth="1"/>
    <col min="15884" max="15884" width="30" style="1606" bestFit="1" customWidth="1"/>
    <col min="15885" max="15886" width="18.42578125" style="1606" customWidth="1"/>
    <col min="15887" max="16126" width="9.140625" style="1606"/>
    <col min="16127" max="16127" width="5.85546875" style="1606" customWidth="1"/>
    <col min="16128" max="16128" width="52.42578125" style="1606" customWidth="1"/>
    <col min="16129" max="16130" width="16.42578125" style="1606" customWidth="1"/>
    <col min="16131" max="16132" width="0" style="1606" hidden="1" customWidth="1"/>
    <col min="16133" max="16133" width="17" style="1606" customWidth="1"/>
    <col min="16134" max="16134" width="17.5703125" style="1606" customWidth="1"/>
    <col min="16135" max="16136" width="16.42578125" style="1606" customWidth="1"/>
    <col min="16137" max="16137" width="10.7109375" style="1606" customWidth="1"/>
    <col min="16138" max="16138" width="12.85546875" style="1606" customWidth="1"/>
    <col min="16139" max="16139" width="18.42578125" style="1606" customWidth="1"/>
    <col min="16140" max="16140" width="30" style="1606" bestFit="1" customWidth="1"/>
    <col min="16141" max="16142" width="18.42578125" style="1606" customWidth="1"/>
    <col min="16143" max="16384" width="9.140625" style="1606"/>
  </cols>
  <sheetData>
    <row r="1" spans="1:13" ht="21" customHeight="1">
      <c r="A1" s="1949" t="str">
        <f>'[4]61'!A1:D1</f>
        <v>UBND XÃ CƯỜNG LỢI</v>
      </c>
      <c r="B1" s="1949"/>
      <c r="C1" s="1949"/>
      <c r="I1" s="1943" t="s">
        <v>907</v>
      </c>
      <c r="J1" s="1943"/>
      <c r="K1" s="1943"/>
      <c r="L1" s="1943"/>
      <c r="M1" s="1730"/>
    </row>
    <row r="2" spans="1:13" ht="28.5" customHeight="1">
      <c r="A2" s="1950" t="s">
        <v>1325</v>
      </c>
      <c r="B2" s="1950"/>
      <c r="C2" s="1950"/>
      <c r="D2" s="1950"/>
      <c r="E2" s="1950"/>
      <c r="F2" s="1950"/>
      <c r="G2" s="1950"/>
      <c r="H2" s="1950"/>
      <c r="I2" s="1950"/>
      <c r="J2" s="1950"/>
      <c r="K2" s="1950"/>
      <c r="L2" s="1950"/>
      <c r="M2" s="1674"/>
    </row>
    <row r="3" spans="1:13" ht="19.5" customHeight="1">
      <c r="A3" s="1951" t="str">
        <f>+'chuyển nguồn'!A3:X3</f>
        <v>(Kèm theo Báo cáo số 151/BC-UBND ngày 20/3/2026 của UBND xã Cường Lợi)</v>
      </c>
      <c r="B3" s="1951"/>
      <c r="C3" s="1951"/>
      <c r="D3" s="1951"/>
      <c r="E3" s="1951"/>
      <c r="F3" s="1951"/>
      <c r="G3" s="1951"/>
      <c r="H3" s="1951"/>
      <c r="I3" s="1951"/>
      <c r="J3" s="1951"/>
      <c r="K3" s="1951"/>
      <c r="L3" s="1951"/>
      <c r="M3" s="1675"/>
    </row>
    <row r="4" spans="1:13" ht="19.5" customHeight="1">
      <c r="A4" s="1676"/>
      <c r="B4" s="1676"/>
      <c r="C4" s="1676"/>
      <c r="D4" s="1675"/>
      <c r="E4" s="1675"/>
      <c r="F4" s="1676"/>
      <c r="G4" s="1675"/>
      <c r="H4" s="1675"/>
      <c r="I4" s="1675"/>
      <c r="J4" s="1675"/>
      <c r="K4" s="1675"/>
      <c r="L4" s="1675"/>
      <c r="M4" s="1675"/>
    </row>
    <row r="5" spans="1:13" ht="20.45" customHeight="1">
      <c r="A5" s="1952" t="s">
        <v>1254</v>
      </c>
      <c r="B5" s="1952"/>
      <c r="C5" s="1952"/>
      <c r="D5" s="1952"/>
      <c r="E5" s="1952"/>
      <c r="F5" s="1952"/>
      <c r="G5" s="1952"/>
      <c r="H5" s="1952"/>
      <c r="I5" s="1952"/>
      <c r="J5" s="1952"/>
      <c r="K5" s="1952"/>
      <c r="L5" s="1952"/>
      <c r="M5" s="1677"/>
    </row>
    <row r="6" spans="1:13" s="1609" customFormat="1" ht="24" customHeight="1">
      <c r="A6" s="1953" t="s">
        <v>291</v>
      </c>
      <c r="B6" s="1953" t="s">
        <v>1326</v>
      </c>
      <c r="C6" s="1961" t="s">
        <v>1046</v>
      </c>
      <c r="D6" s="1962"/>
      <c r="E6" s="1962"/>
      <c r="F6" s="1963"/>
      <c r="G6" s="1956" t="s">
        <v>1327</v>
      </c>
      <c r="H6" s="1956"/>
      <c r="I6" s="1956"/>
      <c r="J6" s="1956"/>
      <c r="K6" s="1956" t="s">
        <v>1328</v>
      </c>
      <c r="L6" s="1956"/>
      <c r="M6" s="1678"/>
    </row>
    <row r="7" spans="1:13" s="1609" customFormat="1" ht="22.15" customHeight="1">
      <c r="A7" s="1954"/>
      <c r="B7" s="1954"/>
      <c r="C7" s="1953" t="s">
        <v>1329</v>
      </c>
      <c r="D7" s="1957" t="s">
        <v>1330</v>
      </c>
      <c r="E7" s="1959" t="s">
        <v>231</v>
      </c>
      <c r="F7" s="1960"/>
      <c r="G7" s="1957" t="s">
        <v>1331</v>
      </c>
      <c r="H7" s="1961" t="s">
        <v>1332</v>
      </c>
      <c r="I7" s="1962"/>
      <c r="J7" s="1963"/>
      <c r="K7" s="1957" t="s">
        <v>1329</v>
      </c>
      <c r="L7" s="1957" t="s">
        <v>1330</v>
      </c>
      <c r="M7" s="1678"/>
    </row>
    <row r="8" spans="1:13" s="1609" customFormat="1" ht="70.5" customHeight="1">
      <c r="A8" s="1955"/>
      <c r="B8" s="1955"/>
      <c r="C8" s="1955"/>
      <c r="D8" s="1958"/>
      <c r="E8" s="1679" t="s">
        <v>1333</v>
      </c>
      <c r="F8" s="1680" t="s">
        <v>1334</v>
      </c>
      <c r="G8" s="1958"/>
      <c r="H8" s="1681" t="s">
        <v>1324</v>
      </c>
      <c r="I8" s="1681" t="s">
        <v>1333</v>
      </c>
      <c r="J8" s="1681" t="s">
        <v>1334</v>
      </c>
      <c r="K8" s="1958"/>
      <c r="L8" s="1958"/>
      <c r="M8" s="1678"/>
    </row>
    <row r="9" spans="1:13" s="1687" customFormat="1" ht="31.5" customHeight="1">
      <c r="A9" s="1682" t="s">
        <v>294</v>
      </c>
      <c r="B9" s="1682" t="s">
        <v>295</v>
      </c>
      <c r="C9" s="1683" t="s">
        <v>1335</v>
      </c>
      <c r="D9" s="1684" t="s">
        <v>1336</v>
      </c>
      <c r="E9" s="1684"/>
      <c r="F9" s="1683"/>
      <c r="G9" s="1685" t="s">
        <v>1337</v>
      </c>
      <c r="H9" s="1684" t="s">
        <v>1338</v>
      </c>
      <c r="I9" s="1684" t="s">
        <v>1339</v>
      </c>
      <c r="J9" s="1684" t="s">
        <v>1340</v>
      </c>
      <c r="K9" s="1685" t="s">
        <v>1341</v>
      </c>
      <c r="L9" s="1685" t="s">
        <v>1342</v>
      </c>
      <c r="M9" s="1686"/>
    </row>
    <row r="10" spans="1:13" s="1673" customFormat="1" ht="24.75" customHeight="1">
      <c r="A10" s="1688" t="s">
        <v>294</v>
      </c>
      <c r="B10" s="1689" t="s">
        <v>1343</v>
      </c>
      <c r="C10" s="1690">
        <f>+C11+C61+C62+C86+C85+C87</f>
        <v>76858000</v>
      </c>
      <c r="D10" s="1690">
        <f>+D11+D61+D62+D86+D85+D87</f>
        <v>89398879.111000031</v>
      </c>
      <c r="E10" s="1690">
        <f t="shared" ref="E10:J10" si="0">+E11+E61+E62+E86+E85+E87</f>
        <v>12540879.111000001</v>
      </c>
      <c r="F10" s="1690">
        <f t="shared" si="0"/>
        <v>76858000</v>
      </c>
      <c r="G10" s="1690">
        <f>+G11+G61+G62+G86+G85+G87</f>
        <v>103777022.976</v>
      </c>
      <c r="H10" s="1690">
        <f t="shared" si="0"/>
        <v>103777022.976</v>
      </c>
      <c r="I10" s="1690">
        <f t="shared" si="0"/>
        <v>12540879.111</v>
      </c>
      <c r="J10" s="1690">
        <f t="shared" si="0"/>
        <v>91236143.864999995</v>
      </c>
      <c r="K10" s="1691">
        <f t="shared" ref="K10:K15" si="1">+G10/C10</f>
        <v>1.3502436047776418</v>
      </c>
      <c r="L10" s="1691">
        <f t="shared" ref="L10:L15" si="2">+G10/D10</f>
        <v>1.1608313662092751</v>
      </c>
      <c r="M10" s="1692"/>
    </row>
    <row r="11" spans="1:13" s="1673" customFormat="1" ht="24.75" customHeight="1">
      <c r="A11" s="1688" t="s">
        <v>296</v>
      </c>
      <c r="B11" s="1689" t="s">
        <v>72</v>
      </c>
      <c r="C11" s="1690">
        <f>+C12</f>
        <v>7200000</v>
      </c>
      <c r="D11" s="1690">
        <f t="shared" ref="D11:J11" si="3">+D12</f>
        <v>13309255.666000001</v>
      </c>
      <c r="E11" s="1690">
        <f t="shared" si="3"/>
        <v>6109255.6660000002</v>
      </c>
      <c r="F11" s="1690">
        <f t="shared" si="3"/>
        <v>7200000</v>
      </c>
      <c r="G11" s="1690">
        <f t="shared" si="3"/>
        <v>13187067.846000001</v>
      </c>
      <c r="H11" s="1690">
        <f t="shared" si="3"/>
        <v>13187067.846000001</v>
      </c>
      <c r="I11" s="1690">
        <f t="shared" si="3"/>
        <v>5771529.2640000004</v>
      </c>
      <c r="J11" s="1690">
        <f t="shared" si="3"/>
        <v>7415538.5820000004</v>
      </c>
      <c r="K11" s="1691">
        <f t="shared" si="1"/>
        <v>1.8315372008333335</v>
      </c>
      <c r="L11" s="1691">
        <f t="shared" si="2"/>
        <v>0.99081933482485107</v>
      </c>
      <c r="M11" s="1693"/>
    </row>
    <row r="12" spans="1:13" s="1699" customFormat="1" ht="40.5" customHeight="1">
      <c r="A12" s="1694"/>
      <c r="B12" s="1695" t="s">
        <v>1344</v>
      </c>
      <c r="C12" s="1696">
        <f t="shared" ref="C12:J12" si="4">+C13+C22+C25+C27+C30+C36</f>
        <v>7200000</v>
      </c>
      <c r="D12" s="1696">
        <f t="shared" si="4"/>
        <v>13309255.666000001</v>
      </c>
      <c r="E12" s="1696">
        <f t="shared" si="4"/>
        <v>6109255.6660000002</v>
      </c>
      <c r="F12" s="1696">
        <f t="shared" si="4"/>
        <v>7200000</v>
      </c>
      <c r="G12" s="1696">
        <f t="shared" si="4"/>
        <v>13187067.846000001</v>
      </c>
      <c r="H12" s="1696">
        <f t="shared" si="4"/>
        <v>13187067.846000001</v>
      </c>
      <c r="I12" s="1696">
        <f t="shared" si="4"/>
        <v>5771529.2640000004</v>
      </c>
      <c r="J12" s="1696">
        <f t="shared" si="4"/>
        <v>7415538.5820000004</v>
      </c>
      <c r="K12" s="1697">
        <f t="shared" si="1"/>
        <v>1.8315372008333335</v>
      </c>
      <c r="L12" s="1697">
        <f t="shared" si="2"/>
        <v>0.99081933482485107</v>
      </c>
      <c r="M12" s="1698"/>
    </row>
    <row r="13" spans="1:13" s="1699" customFormat="1" ht="24" customHeight="1">
      <c r="A13" s="1694">
        <v>1</v>
      </c>
      <c r="B13" s="1695" t="s">
        <v>1345</v>
      </c>
      <c r="C13" s="1696">
        <f t="shared" ref="C13:J13" si="5">+C14+C20</f>
        <v>834000</v>
      </c>
      <c r="D13" s="1696">
        <f t="shared" si="5"/>
        <v>948658.723</v>
      </c>
      <c r="E13" s="1696">
        <f t="shared" si="5"/>
        <v>114658.723</v>
      </c>
      <c r="F13" s="1696">
        <f t="shared" si="5"/>
        <v>834000</v>
      </c>
      <c r="G13" s="1696">
        <f t="shared" si="5"/>
        <v>931915.80500000005</v>
      </c>
      <c r="H13" s="1696">
        <f t="shared" si="5"/>
        <v>931915.80500000005</v>
      </c>
      <c r="I13" s="1696">
        <f t="shared" si="5"/>
        <v>114658.723</v>
      </c>
      <c r="J13" s="1696">
        <f t="shared" si="5"/>
        <v>817257.08200000005</v>
      </c>
      <c r="K13" s="1700">
        <f t="shared" si="1"/>
        <v>1.117405041966427</v>
      </c>
      <c r="L13" s="1700">
        <f t="shared" si="2"/>
        <v>0.98235095762672919</v>
      </c>
      <c r="M13" s="1692"/>
    </row>
    <row r="14" spans="1:13" s="187" customFormat="1" ht="24" customHeight="1">
      <c r="A14" s="1701" t="s">
        <v>298</v>
      </c>
      <c r="B14" s="1702" t="s">
        <v>1346</v>
      </c>
      <c r="C14" s="1703">
        <f>+C15+C16+C17+C18+C19</f>
        <v>674259.81799999997</v>
      </c>
      <c r="D14" s="1703">
        <f>+D15+D16+D17+D18+D19</f>
        <v>788918.54099999997</v>
      </c>
      <c r="E14" s="1703">
        <f>+E15+E16+E17+E18+E19</f>
        <v>114658.723</v>
      </c>
      <c r="F14" s="1703">
        <f>+F15+F16+F17+F18+F19</f>
        <v>674259.81799999997</v>
      </c>
      <c r="G14" s="1703">
        <f>+G15+G16+G17+G18</f>
        <v>772175.62300000002</v>
      </c>
      <c r="H14" s="1703">
        <f>+H15+H16+H17+H18</f>
        <v>772175.62300000002</v>
      </c>
      <c r="I14" s="1703">
        <f>+I15+I16+I17+I18</f>
        <v>114658.723</v>
      </c>
      <c r="J14" s="1703">
        <f>+J15+J16+J17+J18</f>
        <v>657516.9</v>
      </c>
      <c r="K14" s="1700">
        <f t="shared" si="1"/>
        <v>1.1452196948209659</v>
      </c>
      <c r="L14" s="1700">
        <f t="shared" si="2"/>
        <v>0.97877738051538588</v>
      </c>
      <c r="M14" s="1692"/>
    </row>
    <row r="15" spans="1:13" s="1673" customFormat="1" ht="24" customHeight="1">
      <c r="A15" s="1701" t="s">
        <v>60</v>
      </c>
      <c r="B15" s="1702" t="s">
        <v>1347</v>
      </c>
      <c r="C15" s="1703">
        <f>+D15</f>
        <v>238196</v>
      </c>
      <c r="D15" s="1703">
        <f>+E15+F15</f>
        <v>238196</v>
      </c>
      <c r="E15" s="1703"/>
      <c r="F15" s="1703">
        <f>238259.818-63.818</f>
        <v>238196</v>
      </c>
      <c r="G15" s="1703">
        <f>+H15</f>
        <v>238196</v>
      </c>
      <c r="H15" s="1703">
        <f>+I15+J15</f>
        <v>238196</v>
      </c>
      <c r="I15" s="1703"/>
      <c r="J15" s="1703">
        <v>238196</v>
      </c>
      <c r="K15" s="1700">
        <f t="shared" si="1"/>
        <v>1</v>
      </c>
      <c r="L15" s="1700">
        <f t="shared" si="2"/>
        <v>1</v>
      </c>
      <c r="M15" s="1692"/>
    </row>
    <row r="16" spans="1:13" s="1673" customFormat="1" ht="24" customHeight="1">
      <c r="A16" s="1701" t="s">
        <v>243</v>
      </c>
      <c r="B16" s="1702" t="s">
        <v>1348</v>
      </c>
      <c r="C16" s="1703"/>
      <c r="D16" s="1703"/>
      <c r="E16" s="1703"/>
      <c r="F16" s="1703"/>
      <c r="G16" s="1703"/>
      <c r="H16" s="1703"/>
      <c r="I16" s="1703"/>
      <c r="J16" s="1703"/>
      <c r="K16" s="1700"/>
      <c r="L16" s="1700"/>
      <c r="M16" s="1692"/>
    </row>
    <row r="17" spans="1:13" s="1673" customFormat="1" ht="24" customHeight="1">
      <c r="A17" s="1704" t="s">
        <v>60</v>
      </c>
      <c r="B17" s="1705" t="s">
        <v>1349</v>
      </c>
      <c r="C17" s="1706">
        <v>336000</v>
      </c>
      <c r="D17" s="1706">
        <f>+E17+F17</f>
        <v>450658.723</v>
      </c>
      <c r="E17" s="1706">
        <v>114658.723</v>
      </c>
      <c r="F17" s="1706">
        <v>336000</v>
      </c>
      <c r="G17" s="1706">
        <f>+H17</f>
        <v>455468.723</v>
      </c>
      <c r="H17" s="1706">
        <f>+I17+J17</f>
        <v>455468.723</v>
      </c>
      <c r="I17" s="1706">
        <v>114658.723</v>
      </c>
      <c r="J17" s="1706">
        <v>340810</v>
      </c>
      <c r="K17" s="1707">
        <f>+G17/C17</f>
        <v>1.355561675595238</v>
      </c>
      <c r="L17" s="1707">
        <f>+G17/D17</f>
        <v>1.0106732650551624</v>
      </c>
      <c r="M17" s="1708"/>
    </row>
    <row r="18" spans="1:13" s="1673" customFormat="1" ht="35.25" customHeight="1">
      <c r="A18" s="1701" t="s">
        <v>60</v>
      </c>
      <c r="B18" s="1702" t="s">
        <v>1350</v>
      </c>
      <c r="C18" s="1703">
        <v>100000</v>
      </c>
      <c r="D18" s="1703">
        <v>100000</v>
      </c>
      <c r="E18" s="1703"/>
      <c r="F18" s="1703">
        <v>100000</v>
      </c>
      <c r="G18" s="1703">
        <f>+H18</f>
        <v>78510.899999999994</v>
      </c>
      <c r="H18" s="1703">
        <f>+I18+J18</f>
        <v>78510.899999999994</v>
      </c>
      <c r="I18" s="1703"/>
      <c r="J18" s="1703">
        <v>78510.899999999994</v>
      </c>
      <c r="K18" s="1700">
        <f>+G18/C18</f>
        <v>0.78510899999999995</v>
      </c>
      <c r="L18" s="1700">
        <f>+G18/D18</f>
        <v>0.78510899999999995</v>
      </c>
      <c r="M18" s="1692"/>
    </row>
    <row r="19" spans="1:13" s="1673" customFormat="1" ht="24" customHeight="1">
      <c r="A19" s="1701" t="s">
        <v>60</v>
      </c>
      <c r="B19" s="1702" t="s">
        <v>1351</v>
      </c>
      <c r="C19" s="1703">
        <v>63.817999999999998</v>
      </c>
      <c r="D19" s="1703">
        <v>63.817999999999998</v>
      </c>
      <c r="E19" s="1703"/>
      <c r="F19" s="1703">
        <v>63.817999999999998</v>
      </c>
      <c r="G19" s="1703"/>
      <c r="H19" s="1703"/>
      <c r="I19" s="1703"/>
      <c r="J19" s="1703"/>
      <c r="K19" s="1700"/>
      <c r="L19" s="1700"/>
      <c r="M19" s="1692"/>
    </row>
    <row r="20" spans="1:13" s="1673" customFormat="1" ht="21.75" customHeight="1">
      <c r="A20" s="1701" t="s">
        <v>225</v>
      </c>
      <c r="B20" s="1702" t="s">
        <v>186</v>
      </c>
      <c r="C20" s="1703">
        <f t="shared" ref="C20:J20" si="6">+C21</f>
        <v>159740.182</v>
      </c>
      <c r="D20" s="1703">
        <f t="shared" si="6"/>
        <v>159740.182</v>
      </c>
      <c r="E20" s="1703">
        <f t="shared" si="6"/>
        <v>0</v>
      </c>
      <c r="F20" s="1703">
        <f t="shared" si="6"/>
        <v>159740.182</v>
      </c>
      <c r="G20" s="1703">
        <f t="shared" si="6"/>
        <v>159740.182</v>
      </c>
      <c r="H20" s="1703">
        <f t="shared" si="6"/>
        <v>159740.182</v>
      </c>
      <c r="I20" s="1703">
        <f t="shared" si="6"/>
        <v>0</v>
      </c>
      <c r="J20" s="1703">
        <f t="shared" si="6"/>
        <v>159740.182</v>
      </c>
      <c r="K20" s="1700">
        <f>+G20/C20</f>
        <v>1</v>
      </c>
      <c r="L20" s="1700">
        <f>+G20/D20</f>
        <v>1</v>
      </c>
      <c r="M20" s="1692"/>
    </row>
    <row r="21" spans="1:13" s="1673" customFormat="1" ht="31.5">
      <c r="A21" s="1701" t="s">
        <v>60</v>
      </c>
      <c r="B21" s="1702" t="s">
        <v>1352</v>
      </c>
      <c r="C21" s="1703">
        <v>159740.182</v>
      </c>
      <c r="D21" s="1703">
        <v>159740.182</v>
      </c>
      <c r="E21" s="1703"/>
      <c r="F21" s="1703">
        <v>159740.182</v>
      </c>
      <c r="G21" s="1703">
        <f>+H21</f>
        <v>159740.182</v>
      </c>
      <c r="H21" s="1703">
        <f>+I21+J21</f>
        <v>159740.182</v>
      </c>
      <c r="I21" s="1703"/>
      <c r="J21" s="1703">
        <v>159740.182</v>
      </c>
      <c r="K21" s="1700">
        <f>+G21/C21</f>
        <v>1</v>
      </c>
      <c r="L21" s="1700">
        <f>+G21/D21</f>
        <v>1</v>
      </c>
      <c r="M21" s="1692"/>
    </row>
    <row r="22" spans="1:13" s="1699" customFormat="1" ht="21.75" customHeight="1">
      <c r="A22" s="1694">
        <v>2</v>
      </c>
      <c r="B22" s="1695" t="s">
        <v>1353</v>
      </c>
      <c r="C22" s="1696"/>
      <c r="D22" s="1696"/>
      <c r="E22" s="1696"/>
      <c r="F22" s="1696"/>
      <c r="G22" s="1703"/>
      <c r="H22" s="1703"/>
      <c r="I22" s="1696"/>
      <c r="J22" s="1696"/>
      <c r="K22" s="1700"/>
      <c r="L22" s="1700"/>
      <c r="M22" s="1692"/>
    </row>
    <row r="23" spans="1:13" s="1673" customFormat="1" ht="21.75" customHeight="1">
      <c r="A23" s="1701" t="s">
        <v>227</v>
      </c>
      <c r="B23" s="1702" t="s">
        <v>1354</v>
      </c>
      <c r="C23" s="1703"/>
      <c r="D23" s="1703"/>
      <c r="E23" s="1703"/>
      <c r="F23" s="1703"/>
      <c r="G23" s="1703"/>
      <c r="H23" s="1703"/>
      <c r="I23" s="1703"/>
      <c r="J23" s="1703"/>
      <c r="K23" s="1700"/>
      <c r="L23" s="1700"/>
      <c r="M23" s="1692"/>
    </row>
    <row r="24" spans="1:13" s="1673" customFormat="1" ht="21.75" customHeight="1">
      <c r="A24" s="1701" t="s">
        <v>228</v>
      </c>
      <c r="B24" s="1702" t="s">
        <v>186</v>
      </c>
      <c r="C24" s="1703"/>
      <c r="D24" s="1703"/>
      <c r="E24" s="1703"/>
      <c r="F24" s="1703"/>
      <c r="G24" s="1703"/>
      <c r="H24" s="1703"/>
      <c r="I24" s="1703"/>
      <c r="J24" s="1703"/>
      <c r="K24" s="1700"/>
      <c r="L24" s="1700"/>
      <c r="M24" s="1692"/>
    </row>
    <row r="25" spans="1:13" s="1699" customFormat="1" ht="21.75" customHeight="1">
      <c r="A25" s="1694">
        <v>3</v>
      </c>
      <c r="B25" s="1695" t="s">
        <v>1005</v>
      </c>
      <c r="C25" s="1696"/>
      <c r="D25" s="1696"/>
      <c r="E25" s="1696"/>
      <c r="F25" s="1696"/>
      <c r="G25" s="1703"/>
      <c r="H25" s="1703"/>
      <c r="I25" s="1696"/>
      <c r="J25" s="1696"/>
      <c r="K25" s="1700"/>
      <c r="L25" s="1700"/>
      <c r="M25" s="1692"/>
    </row>
    <row r="26" spans="1:13" s="1673" customFormat="1" ht="21" customHeight="1">
      <c r="A26" s="1701"/>
      <c r="B26" s="1702" t="s">
        <v>1354</v>
      </c>
      <c r="C26" s="1703"/>
      <c r="D26" s="1703"/>
      <c r="E26" s="1703"/>
      <c r="F26" s="1703"/>
      <c r="G26" s="1703"/>
      <c r="H26" s="1703"/>
      <c r="I26" s="1703"/>
      <c r="J26" s="1703"/>
      <c r="K26" s="1700"/>
      <c r="L26" s="1700"/>
      <c r="M26" s="1692"/>
    </row>
    <row r="27" spans="1:13" s="1699" customFormat="1" ht="35.25" customHeight="1">
      <c r="A27" s="1694">
        <v>4</v>
      </c>
      <c r="B27" s="1710" t="s">
        <v>1355</v>
      </c>
      <c r="C27" s="1696"/>
      <c r="D27" s="1696"/>
      <c r="E27" s="1696"/>
      <c r="F27" s="1696"/>
      <c r="G27" s="1703"/>
      <c r="H27" s="1703"/>
      <c r="I27" s="1696"/>
      <c r="J27" s="1696"/>
      <c r="K27" s="1700"/>
      <c r="L27" s="1700"/>
      <c r="M27" s="1692"/>
    </row>
    <row r="28" spans="1:13" s="1673" customFormat="1" ht="20.25" customHeight="1">
      <c r="A28" s="1701" t="s">
        <v>1356</v>
      </c>
      <c r="B28" s="1702" t="s">
        <v>1357</v>
      </c>
      <c r="C28" s="1703"/>
      <c r="D28" s="1703"/>
      <c r="E28" s="1703"/>
      <c r="F28" s="1703"/>
      <c r="G28" s="1703"/>
      <c r="H28" s="1703"/>
      <c r="I28" s="1703"/>
      <c r="J28" s="1703"/>
      <c r="K28" s="1700"/>
      <c r="L28" s="1700"/>
      <c r="M28" s="1692"/>
    </row>
    <row r="29" spans="1:13" s="1673" customFormat="1" ht="20.25" customHeight="1">
      <c r="A29" s="1701" t="s">
        <v>156</v>
      </c>
      <c r="B29" s="1702" t="s">
        <v>186</v>
      </c>
      <c r="C29" s="1703"/>
      <c r="D29" s="1703"/>
      <c r="E29" s="1703"/>
      <c r="F29" s="1703"/>
      <c r="G29" s="1703"/>
      <c r="H29" s="1703"/>
      <c r="I29" s="1703"/>
      <c r="J29" s="1703"/>
      <c r="K29" s="1700"/>
      <c r="L29" s="1700"/>
      <c r="M29" s="1692"/>
    </row>
    <row r="30" spans="1:13" s="1699" customFormat="1" ht="31.5">
      <c r="A30" s="1694">
        <v>5</v>
      </c>
      <c r="B30" s="1695" t="s">
        <v>1358</v>
      </c>
      <c r="C30" s="1696">
        <f>+C31+C32</f>
        <v>0</v>
      </c>
      <c r="D30" s="1696">
        <f>+D31+D32</f>
        <v>3867549.5620000004</v>
      </c>
      <c r="E30" s="1696">
        <f t="shared" ref="E30:J30" si="7">+E31+E32</f>
        <v>3867549.5620000004</v>
      </c>
      <c r="F30" s="1696">
        <f t="shared" si="7"/>
        <v>0</v>
      </c>
      <c r="G30" s="1696">
        <f t="shared" si="7"/>
        <v>3678458.8600000003</v>
      </c>
      <c r="H30" s="1696">
        <f t="shared" si="7"/>
        <v>3678458.8600000003</v>
      </c>
      <c r="I30" s="1696">
        <f t="shared" si="7"/>
        <v>3678458.8600000003</v>
      </c>
      <c r="J30" s="1696">
        <f t="shared" si="7"/>
        <v>0</v>
      </c>
      <c r="K30" s="1697"/>
      <c r="L30" s="1697">
        <f>+G30/D30</f>
        <v>0.9511083959058001</v>
      </c>
      <c r="M30" s="1698"/>
    </row>
    <row r="31" spans="1:13" s="1673" customFormat="1">
      <c r="A31" s="1701" t="s">
        <v>246</v>
      </c>
      <c r="B31" s="1702" t="s">
        <v>1357</v>
      </c>
      <c r="C31" s="1703"/>
      <c r="D31" s="1703"/>
      <c r="E31" s="1703"/>
      <c r="F31" s="1703"/>
      <c r="G31" s="1703"/>
      <c r="H31" s="1703"/>
      <c r="I31" s="1703"/>
      <c r="J31" s="1703"/>
      <c r="K31" s="1700"/>
      <c r="L31" s="1700"/>
      <c r="M31" s="1692"/>
    </row>
    <row r="32" spans="1:13" s="1673" customFormat="1">
      <c r="A32" s="1701" t="s">
        <v>144</v>
      </c>
      <c r="B32" s="1702" t="s">
        <v>186</v>
      </c>
      <c r="C32" s="1703"/>
      <c r="D32" s="1703">
        <f>+D33+D35+D34</f>
        <v>3867549.5620000004</v>
      </c>
      <c r="E32" s="1703">
        <f>+E33+E35+E34</f>
        <v>3867549.5620000004</v>
      </c>
      <c r="F32" s="1703"/>
      <c r="G32" s="1703">
        <f>+G33+G35</f>
        <v>3678458.8600000003</v>
      </c>
      <c r="H32" s="1703">
        <f>+H33+H35</f>
        <v>3678458.8600000003</v>
      </c>
      <c r="I32" s="1703">
        <f>+I33+I35</f>
        <v>3678458.8600000003</v>
      </c>
      <c r="J32" s="1703">
        <f>+J33+J35</f>
        <v>0</v>
      </c>
      <c r="K32" s="1700"/>
      <c r="L32" s="1700">
        <f>+G32/D32</f>
        <v>0.9511083959058001</v>
      </c>
      <c r="M32" s="1692"/>
    </row>
    <row r="33" spans="1:14" s="1673" customFormat="1" ht="47.25">
      <c r="A33" s="1701"/>
      <c r="B33" s="1702" t="s">
        <v>1359</v>
      </c>
      <c r="C33" s="1703"/>
      <c r="D33" s="1703">
        <f>+E33+F33</f>
        <v>3371045.6</v>
      </c>
      <c r="E33" s="1703">
        <f>3371742.302-696.702</f>
        <v>3371045.6</v>
      </c>
      <c r="F33" s="1703"/>
      <c r="G33" s="1703">
        <f>+H33</f>
        <v>3182651.6</v>
      </c>
      <c r="H33" s="1703">
        <f>+I33+J33</f>
        <v>3182651.6</v>
      </c>
      <c r="I33" s="1703">
        <v>3182651.6</v>
      </c>
      <c r="J33" s="1703"/>
      <c r="K33" s="1700"/>
      <c r="L33" s="1700">
        <f>+G33/D33</f>
        <v>0.94411407546667425</v>
      </c>
      <c r="M33" s="1692"/>
    </row>
    <row r="34" spans="1:14" s="1673" customFormat="1" ht="56.25" customHeight="1">
      <c r="A34" s="1704"/>
      <c r="B34" s="1705" t="s">
        <v>1360</v>
      </c>
      <c r="C34" s="1706"/>
      <c r="D34" s="1706">
        <f>+E34</f>
        <v>696.70200000004843</v>
      </c>
      <c r="E34" s="1706">
        <v>696.70200000004843</v>
      </c>
      <c r="F34" s="1706"/>
      <c r="G34" s="1706"/>
      <c r="H34" s="1706"/>
      <c r="I34" s="1706"/>
      <c r="J34" s="1706"/>
      <c r="K34" s="1707"/>
      <c r="L34" s="1707"/>
      <c r="M34" s="1708"/>
    </row>
    <row r="35" spans="1:14" s="1673" customFormat="1" ht="31.5">
      <c r="A35" s="1701"/>
      <c r="B35" s="1702" t="s">
        <v>1361</v>
      </c>
      <c r="C35" s="1703"/>
      <c r="D35" s="1703">
        <f>+E35+F35</f>
        <v>495807.26</v>
      </c>
      <c r="E35" s="1703">
        <v>495807.26</v>
      </c>
      <c r="F35" s="1703"/>
      <c r="G35" s="1703">
        <f>+H35</f>
        <v>495807.26</v>
      </c>
      <c r="H35" s="1703">
        <f>+I35+J35</f>
        <v>495807.26</v>
      </c>
      <c r="I35" s="1703">
        <v>495807.26</v>
      </c>
      <c r="J35" s="1703"/>
      <c r="K35" s="1700"/>
      <c r="L35" s="1700">
        <f>+G35/D35</f>
        <v>1</v>
      </c>
      <c r="M35" s="1692"/>
    </row>
    <row r="36" spans="1:14" s="1699" customFormat="1" ht="47.25">
      <c r="A36" s="1694">
        <v>6</v>
      </c>
      <c r="B36" s="1710" t="s">
        <v>1362</v>
      </c>
      <c r="C36" s="1696">
        <f>+C37+C41+C42</f>
        <v>6366000</v>
      </c>
      <c r="D36" s="1696">
        <f t="shared" ref="D36:J36" si="8">+D37+D41+D42</f>
        <v>8493047.381000001</v>
      </c>
      <c r="E36" s="1696">
        <f t="shared" si="8"/>
        <v>2127047.3810000001</v>
      </c>
      <c r="F36" s="1696">
        <f t="shared" si="8"/>
        <v>6366000</v>
      </c>
      <c r="G36" s="1696">
        <f t="shared" si="8"/>
        <v>8576693.1809999999</v>
      </c>
      <c r="H36" s="1696">
        <f t="shared" si="8"/>
        <v>8576693.1809999999</v>
      </c>
      <c r="I36" s="1696">
        <f t="shared" si="8"/>
        <v>1978411.6810000001</v>
      </c>
      <c r="J36" s="1696">
        <f t="shared" si="8"/>
        <v>6598281.5</v>
      </c>
      <c r="K36" s="1697">
        <f>+G36/C36</f>
        <v>1.3472656583411875</v>
      </c>
      <c r="L36" s="1697">
        <f>+G36/D36</f>
        <v>1.0098487381793164</v>
      </c>
      <c r="M36" s="1698"/>
    </row>
    <row r="37" spans="1:14" s="1673" customFormat="1">
      <c r="A37" s="1701" t="s">
        <v>1363</v>
      </c>
      <c r="B37" s="1711" t="s">
        <v>1364</v>
      </c>
      <c r="C37" s="1703">
        <f>+C38+C39+C40</f>
        <v>6366000</v>
      </c>
      <c r="D37" s="1703">
        <f t="shared" ref="D37:J37" si="9">+D38+D39+D40</f>
        <v>8493047.381000001</v>
      </c>
      <c r="E37" s="1703">
        <f t="shared" si="9"/>
        <v>2127047.3810000001</v>
      </c>
      <c r="F37" s="1703">
        <f t="shared" si="9"/>
        <v>6366000</v>
      </c>
      <c r="G37" s="1703">
        <f t="shared" si="9"/>
        <v>8576693.1809999999</v>
      </c>
      <c r="H37" s="1703">
        <f t="shared" si="9"/>
        <v>8576693.1809999999</v>
      </c>
      <c r="I37" s="1703">
        <f t="shared" si="9"/>
        <v>1978411.6810000001</v>
      </c>
      <c r="J37" s="1703">
        <f t="shared" si="9"/>
        <v>6598281.5</v>
      </c>
      <c r="K37" s="1700">
        <f>+G37/C37</f>
        <v>1.3472656583411875</v>
      </c>
      <c r="L37" s="1700">
        <f>+G37/D37</f>
        <v>1.0098487381793164</v>
      </c>
      <c r="M37" s="1692"/>
    </row>
    <row r="38" spans="1:14" s="1673" customFormat="1">
      <c r="A38" s="1701"/>
      <c r="B38" s="1711" t="s">
        <v>1365</v>
      </c>
      <c r="C38" s="1703"/>
      <c r="D38" s="1703"/>
      <c r="E38" s="1703"/>
      <c r="F38" s="1703"/>
      <c r="G38" s="1703"/>
      <c r="H38" s="1703"/>
      <c r="I38" s="1703"/>
      <c r="J38" s="1703"/>
      <c r="K38" s="1700"/>
      <c r="L38" s="1700"/>
      <c r="M38" s="1692"/>
    </row>
    <row r="39" spans="1:14" s="1673" customFormat="1">
      <c r="A39" s="1701"/>
      <c r="B39" s="1711" t="s">
        <v>1366</v>
      </c>
      <c r="C39" s="1703">
        <v>941000</v>
      </c>
      <c r="D39" s="1703">
        <f>+E39+F39</f>
        <v>1349960</v>
      </c>
      <c r="E39" s="1703">
        <v>408960</v>
      </c>
      <c r="F39" s="1703">
        <v>941000</v>
      </c>
      <c r="G39" s="1703">
        <f>+H39</f>
        <v>1743004</v>
      </c>
      <c r="H39" s="1703">
        <f>+I39+J39</f>
        <v>1743004</v>
      </c>
      <c r="I39" s="1703">
        <v>373142.5</v>
      </c>
      <c r="J39" s="1703">
        <v>1369861.5</v>
      </c>
      <c r="K39" s="1700">
        <f>+G39/C39</f>
        <v>1.852289054197662</v>
      </c>
      <c r="L39" s="1700">
        <f>+G39/D39</f>
        <v>1.2911523304394203</v>
      </c>
      <c r="M39" s="1692"/>
    </row>
    <row r="40" spans="1:14" s="1673" customFormat="1" ht="31.5">
      <c r="A40" s="1701"/>
      <c r="B40" s="1711" t="s">
        <v>1367</v>
      </c>
      <c r="C40" s="1703">
        <f>920000+4505000</f>
        <v>5425000</v>
      </c>
      <c r="D40" s="1703">
        <f>+E40+F40</f>
        <v>7143087.3810000001</v>
      </c>
      <c r="E40" s="1703">
        <f>1558087.381+160000</f>
        <v>1718087.3810000001</v>
      </c>
      <c r="F40" s="1703">
        <f>920000+4505000</f>
        <v>5425000</v>
      </c>
      <c r="G40" s="1703">
        <f>+H40</f>
        <v>6833689.1809999999</v>
      </c>
      <c r="H40" s="1703">
        <f>+I40+J40</f>
        <v>6833689.1809999999</v>
      </c>
      <c r="I40" s="1703">
        <f>160000+1445269.181</f>
        <v>1605269.1810000001</v>
      </c>
      <c r="J40" s="1703">
        <f>800000+4428420</f>
        <v>5228420</v>
      </c>
      <c r="K40" s="1700">
        <f>+G40/C40</f>
        <v>1.2596662084792627</v>
      </c>
      <c r="L40" s="1700">
        <f>+G40/D40</f>
        <v>0.95668564816622947</v>
      </c>
      <c r="M40" s="1692"/>
    </row>
    <row r="41" spans="1:14" s="1673" customFormat="1" ht="31.5">
      <c r="A41" s="1701" t="s">
        <v>529</v>
      </c>
      <c r="B41" s="1711" t="s">
        <v>1368</v>
      </c>
      <c r="C41" s="1703"/>
      <c r="D41" s="1703"/>
      <c r="E41" s="1703"/>
      <c r="F41" s="1703"/>
      <c r="G41" s="1703"/>
      <c r="H41" s="1703"/>
      <c r="I41" s="1703"/>
      <c r="J41" s="1703"/>
      <c r="K41" s="1700"/>
      <c r="L41" s="1700"/>
      <c r="M41" s="1692"/>
    </row>
    <row r="42" spans="1:14" s="1673" customFormat="1" ht="42.75" customHeight="1">
      <c r="A42" s="1701" t="s">
        <v>1369</v>
      </c>
      <c r="B42" s="1711" t="s">
        <v>1370</v>
      </c>
      <c r="C42" s="1703"/>
      <c r="D42" s="1703"/>
      <c r="E42" s="1703"/>
      <c r="F42" s="1703"/>
      <c r="G42" s="1703"/>
      <c r="H42" s="1703"/>
      <c r="I42" s="1703"/>
      <c r="J42" s="1703"/>
      <c r="K42" s="1700"/>
      <c r="L42" s="1700"/>
      <c r="M42" s="1692"/>
      <c r="N42" s="1709"/>
    </row>
    <row r="43" spans="1:14" s="1699" customFormat="1" ht="31.5">
      <c r="A43" s="1712"/>
      <c r="B43" s="1713" t="s">
        <v>1371</v>
      </c>
      <c r="C43" s="1714"/>
      <c r="D43" s="1714">
        <f>+SUM(D44:D56)</f>
        <v>13309255.666000001</v>
      </c>
      <c r="E43" s="1714">
        <f t="shared" ref="E43:J43" si="10">+SUM(E44:E56)</f>
        <v>6109255.6659999993</v>
      </c>
      <c r="F43" s="1714">
        <f t="shared" si="10"/>
        <v>7200000.0000000009</v>
      </c>
      <c r="G43" s="1714">
        <f t="shared" si="10"/>
        <v>13187067.846000001</v>
      </c>
      <c r="H43" s="1714">
        <f t="shared" si="10"/>
        <v>13187067.846000001</v>
      </c>
      <c r="I43" s="1714">
        <f t="shared" si="10"/>
        <v>5771529.2640000004</v>
      </c>
      <c r="J43" s="1714">
        <f t="shared" si="10"/>
        <v>7415538.5820000004</v>
      </c>
      <c r="K43" s="1715"/>
      <c r="L43" s="1715">
        <f>+G43/D43</f>
        <v>0.99081933482485107</v>
      </c>
      <c r="M43" s="1716"/>
    </row>
    <row r="44" spans="1:14" s="1673" customFormat="1" ht="21.75" customHeight="1">
      <c r="A44" s="1704">
        <v>1</v>
      </c>
      <c r="B44" s="1705" t="s">
        <v>274</v>
      </c>
      <c r="C44" s="1706"/>
      <c r="D44" s="1706"/>
      <c r="E44" s="1706"/>
      <c r="F44" s="1706"/>
      <c r="G44" s="1706"/>
      <c r="H44" s="1706"/>
      <c r="I44" s="1706"/>
      <c r="J44" s="1706"/>
      <c r="K44" s="1707"/>
      <c r="L44" s="1707"/>
      <c r="M44" s="1708"/>
    </row>
    <row r="45" spans="1:14" s="1673" customFormat="1" ht="21.75" customHeight="1">
      <c r="A45" s="1704">
        <v>2</v>
      </c>
      <c r="B45" s="1705" t="s">
        <v>342</v>
      </c>
      <c r="C45" s="1706"/>
      <c r="D45" s="1706"/>
      <c r="E45" s="1706"/>
      <c r="F45" s="1706"/>
      <c r="G45" s="1706"/>
      <c r="H45" s="1706"/>
      <c r="I45" s="1706"/>
      <c r="J45" s="1706"/>
      <c r="K45" s="1707"/>
      <c r="L45" s="1707"/>
      <c r="M45" s="1708"/>
    </row>
    <row r="46" spans="1:14" s="1673" customFormat="1" ht="21.75" customHeight="1">
      <c r="A46" s="1704">
        <v>3</v>
      </c>
      <c r="B46" s="1705" t="s">
        <v>1372</v>
      </c>
      <c r="C46" s="1706"/>
      <c r="D46" s="1706">
        <f t="shared" ref="D46:D81" si="11">+E46+F46</f>
        <v>3217708.7230000002</v>
      </c>
      <c r="E46" s="1706">
        <f>117708.723+3100000</f>
        <v>3217708.7230000002</v>
      </c>
      <c r="F46" s="1706"/>
      <c r="G46" s="1706">
        <f>+H46</f>
        <v>2959773.923</v>
      </c>
      <c r="H46" s="1706">
        <f>+I46+J46</f>
        <v>2959773.923</v>
      </c>
      <c r="I46" s="1706">
        <f>48167.923+2911606</f>
        <v>2959773.923</v>
      </c>
      <c r="J46" s="1706"/>
      <c r="K46" s="1707"/>
      <c r="L46" s="1707">
        <f t="shared" ref="L46:L54" si="12">+G46/D46</f>
        <v>0.91983898413293386</v>
      </c>
      <c r="M46" s="1708"/>
    </row>
    <row r="47" spans="1:14" s="1673" customFormat="1" ht="21" customHeight="1">
      <c r="A47" s="1704">
        <v>4</v>
      </c>
      <c r="B47" s="1705" t="s">
        <v>1373</v>
      </c>
      <c r="C47" s="1706"/>
      <c r="D47" s="1706"/>
      <c r="E47" s="1706"/>
      <c r="F47" s="1706"/>
      <c r="G47" s="1706"/>
      <c r="H47" s="1706"/>
      <c r="I47" s="1706"/>
      <c r="J47" s="1706"/>
      <c r="K47" s="1707"/>
      <c r="L47" s="1707"/>
      <c r="M47" s="1708"/>
    </row>
    <row r="48" spans="1:14" s="1673" customFormat="1" ht="21" customHeight="1">
      <c r="A48" s="1704">
        <v>5</v>
      </c>
      <c r="B48" s="1705" t="s">
        <v>1374</v>
      </c>
      <c r="C48" s="1706"/>
      <c r="D48" s="1706"/>
      <c r="E48" s="1706"/>
      <c r="F48" s="1706"/>
      <c r="G48" s="1706"/>
      <c r="H48" s="1706"/>
      <c r="I48" s="1706"/>
      <c r="J48" s="1706"/>
      <c r="K48" s="1707"/>
      <c r="L48" s="1707"/>
      <c r="M48" s="1708"/>
    </row>
    <row r="49" spans="1:13" s="1673" customFormat="1" ht="22.5" customHeight="1">
      <c r="A49" s="1704">
        <v>6</v>
      </c>
      <c r="B49" s="1705" t="s">
        <v>1375</v>
      </c>
      <c r="C49" s="1706"/>
      <c r="D49" s="1706">
        <f t="shared" si="11"/>
        <v>500000</v>
      </c>
      <c r="E49" s="1706"/>
      <c r="F49" s="1706">
        <v>500000</v>
      </c>
      <c r="G49" s="1706">
        <f>+H49</f>
        <v>497906.6</v>
      </c>
      <c r="H49" s="1706">
        <f>+I49+J49</f>
        <v>497906.6</v>
      </c>
      <c r="I49" s="1706"/>
      <c r="J49" s="1706">
        <v>497906.6</v>
      </c>
      <c r="K49" s="1707"/>
      <c r="L49" s="1707">
        <f t="shared" si="12"/>
        <v>0.99581319999999995</v>
      </c>
      <c r="M49" s="1708"/>
    </row>
    <row r="50" spans="1:13" s="1699" customFormat="1" ht="19.5" customHeight="1">
      <c r="A50" s="1704">
        <v>7</v>
      </c>
      <c r="B50" s="1705" t="s">
        <v>1376</v>
      </c>
      <c r="C50" s="1706"/>
      <c r="D50" s="1706"/>
      <c r="E50" s="1706"/>
      <c r="F50" s="1706"/>
      <c r="G50" s="1706"/>
      <c r="H50" s="1706"/>
      <c r="I50" s="1706"/>
      <c r="J50" s="1706"/>
      <c r="K50" s="1707"/>
      <c r="L50" s="1707"/>
      <c r="M50" s="1708"/>
    </row>
    <row r="51" spans="1:13" s="1673" customFormat="1" ht="19.5" customHeight="1">
      <c r="A51" s="1704">
        <v>8</v>
      </c>
      <c r="B51" s="1705" t="s">
        <v>1377</v>
      </c>
      <c r="C51" s="1706"/>
      <c r="D51" s="1706"/>
      <c r="E51" s="1706"/>
      <c r="F51" s="1706"/>
      <c r="G51" s="1706"/>
      <c r="H51" s="1706"/>
      <c r="I51" s="1706"/>
      <c r="J51" s="1706"/>
      <c r="K51" s="1707"/>
      <c r="L51" s="1707"/>
      <c r="M51" s="1708"/>
    </row>
    <row r="52" spans="1:13" s="1673" customFormat="1" ht="19.5" customHeight="1">
      <c r="A52" s="1704">
        <v>9</v>
      </c>
      <c r="B52" s="1705" t="s">
        <v>1378</v>
      </c>
      <c r="C52" s="1706"/>
      <c r="D52" s="1706"/>
      <c r="E52" s="1706"/>
      <c r="F52" s="1706"/>
      <c r="G52" s="1706"/>
      <c r="H52" s="1706"/>
      <c r="I52" s="1706"/>
      <c r="J52" s="1706"/>
      <c r="K52" s="1707"/>
      <c r="L52" s="1707"/>
      <c r="M52" s="1708"/>
    </row>
    <row r="53" spans="1:13" s="1673" customFormat="1" ht="23.25" customHeight="1">
      <c r="A53" s="1704">
        <v>10</v>
      </c>
      <c r="B53" s="1705" t="s">
        <v>344</v>
      </c>
      <c r="C53" s="1706"/>
      <c r="D53" s="1706">
        <f>+E53+F53</f>
        <v>8402446.4230000004</v>
      </c>
      <c r="E53" s="1706">
        <f>1744097.381+203900+495807.26+271045.6</f>
        <v>2714850.2409999999</v>
      </c>
      <c r="F53" s="1706">
        <f>6962449.042-495807.26-271045.6-508000</f>
        <v>5687596.182000001</v>
      </c>
      <c r="G53" s="1706">
        <f>+H53</f>
        <v>8673387.3230000008</v>
      </c>
      <c r="H53" s="1706">
        <f>+I53+J53</f>
        <v>8673387.3230000008</v>
      </c>
      <c r="I53" s="1706">
        <f>1665002.481+203900+495807.26+271045.6</f>
        <v>2635755.341</v>
      </c>
      <c r="J53" s="1706">
        <f>6804484.842-495807.26-271045.6</f>
        <v>6037631.9820000008</v>
      </c>
      <c r="K53" s="1707"/>
      <c r="L53" s="1707">
        <f t="shared" si="12"/>
        <v>1.0322454778477794</v>
      </c>
      <c r="M53" s="1708"/>
    </row>
    <row r="54" spans="1:13" s="1673" customFormat="1" ht="31.5">
      <c r="A54" s="1704">
        <v>11</v>
      </c>
      <c r="B54" s="1705" t="s">
        <v>1379</v>
      </c>
      <c r="C54" s="1706"/>
      <c r="D54" s="1706">
        <f>+E54+F54</f>
        <v>1188000</v>
      </c>
      <c r="E54" s="1706">
        <v>176000</v>
      </c>
      <c r="F54" s="1706">
        <v>1012000</v>
      </c>
      <c r="G54" s="1706">
        <f>+H54</f>
        <v>1056000</v>
      </c>
      <c r="H54" s="1706">
        <f>+I54+J54</f>
        <v>1056000</v>
      </c>
      <c r="I54" s="1706">
        <v>176000</v>
      </c>
      <c r="J54" s="1706">
        <v>880000</v>
      </c>
      <c r="K54" s="1707"/>
      <c r="L54" s="1707">
        <f t="shared" si="12"/>
        <v>0.88888888888888884</v>
      </c>
      <c r="M54" s="1708"/>
    </row>
    <row r="55" spans="1:13" s="1673" customFormat="1" ht="26.25" customHeight="1">
      <c r="A55" s="1704">
        <v>12</v>
      </c>
      <c r="B55" s="1705" t="s">
        <v>1380</v>
      </c>
      <c r="C55" s="1706"/>
      <c r="D55" s="1706"/>
      <c r="E55" s="1706"/>
      <c r="F55" s="1706"/>
      <c r="G55" s="1706"/>
      <c r="H55" s="1706"/>
      <c r="I55" s="1706"/>
      <c r="J55" s="1706"/>
      <c r="K55" s="1707"/>
      <c r="L55" s="1707"/>
      <c r="M55" s="1708"/>
    </row>
    <row r="56" spans="1:13" s="1673" customFormat="1" ht="21.75" customHeight="1">
      <c r="A56" s="1704">
        <v>13</v>
      </c>
      <c r="B56" s="1705" t="s">
        <v>1381</v>
      </c>
      <c r="C56" s="1706"/>
      <c r="D56" s="1706">
        <f>+D57+D59+D58</f>
        <v>1100.5200000000484</v>
      </c>
      <c r="E56" s="1717">
        <f>+E57+E59+E58</f>
        <v>696.70200000004843</v>
      </c>
      <c r="F56" s="1706">
        <f>+F57+F59+F58</f>
        <v>403.81799999999998</v>
      </c>
      <c r="G56" s="1706"/>
      <c r="H56" s="1706"/>
      <c r="I56" s="1706"/>
      <c r="J56" s="1706"/>
      <c r="K56" s="1707"/>
      <c r="L56" s="1707"/>
      <c r="M56" s="1708"/>
    </row>
    <row r="57" spans="1:13" s="1673" customFormat="1" ht="21" customHeight="1">
      <c r="A57" s="1718" t="s">
        <v>71</v>
      </c>
      <c r="B57" s="1705" t="s">
        <v>1382</v>
      </c>
      <c r="C57" s="1706"/>
      <c r="D57" s="1717">
        <v>340</v>
      </c>
      <c r="E57" s="1706"/>
      <c r="F57" s="1717">
        <v>340</v>
      </c>
      <c r="G57" s="1706"/>
      <c r="H57" s="1706"/>
      <c r="I57" s="1706"/>
      <c r="J57" s="1706"/>
      <c r="K57" s="1707"/>
      <c r="L57" s="1707"/>
      <c r="M57" s="1708"/>
    </row>
    <row r="58" spans="1:13" s="1673" customFormat="1" ht="36.75" customHeight="1">
      <c r="A58" s="1719" t="s">
        <v>71</v>
      </c>
      <c r="B58" s="1702" t="s">
        <v>1383</v>
      </c>
      <c r="C58" s="1703"/>
      <c r="D58" s="1717">
        <v>696.70200000004843</v>
      </c>
      <c r="E58" s="1717">
        <v>696.70200000004843</v>
      </c>
      <c r="F58" s="1717"/>
      <c r="G58" s="1703"/>
      <c r="H58" s="1703"/>
      <c r="I58" s="1703"/>
      <c r="J58" s="1703"/>
      <c r="K58" s="1700"/>
      <c r="L58" s="1700"/>
      <c r="M58" s="1692"/>
    </row>
    <row r="59" spans="1:13" s="1673" customFormat="1" ht="36.75" customHeight="1">
      <c r="A59" s="1719" t="s">
        <v>71</v>
      </c>
      <c r="B59" s="1702" t="s">
        <v>1384</v>
      </c>
      <c r="C59" s="1703"/>
      <c r="D59" s="1717">
        <v>63.817999999999998</v>
      </c>
      <c r="E59" s="1703"/>
      <c r="F59" s="1717">
        <v>63.817999999999998</v>
      </c>
      <c r="G59" s="1703"/>
      <c r="H59" s="1703"/>
      <c r="I59" s="1703"/>
      <c r="J59" s="1703"/>
      <c r="K59" s="1700"/>
      <c r="L59" s="1700"/>
      <c r="M59" s="1692"/>
    </row>
    <row r="60" spans="1:13" s="1673" customFormat="1" ht="39.75" customHeight="1">
      <c r="A60" s="1688">
        <v>2</v>
      </c>
      <c r="B60" s="1689" t="s">
        <v>1385</v>
      </c>
      <c r="C60" s="1703"/>
      <c r="D60" s="1703"/>
      <c r="E60" s="1703"/>
      <c r="F60" s="1703"/>
      <c r="G60" s="1703"/>
      <c r="H60" s="1703"/>
      <c r="I60" s="1703"/>
      <c r="J60" s="1703"/>
      <c r="K60" s="1700"/>
      <c r="L60" s="1700"/>
      <c r="M60" s="1692"/>
    </row>
    <row r="61" spans="1:13" s="1673" customFormat="1" ht="21" customHeight="1">
      <c r="A61" s="1688" t="s">
        <v>139</v>
      </c>
      <c r="B61" s="1689" t="s">
        <v>1386</v>
      </c>
      <c r="C61" s="1703"/>
      <c r="D61" s="1703"/>
      <c r="E61" s="1703"/>
      <c r="F61" s="1703"/>
      <c r="G61" s="1703"/>
      <c r="H61" s="1703"/>
      <c r="I61" s="1703"/>
      <c r="J61" s="1703"/>
      <c r="K61" s="1700"/>
      <c r="L61" s="1700"/>
      <c r="M61" s="1692"/>
    </row>
    <row r="62" spans="1:13" s="377" customFormat="1" ht="21.75" customHeight="1">
      <c r="A62" s="1688" t="s">
        <v>62</v>
      </c>
      <c r="B62" s="1689" t="s">
        <v>446</v>
      </c>
      <c r="C62" s="1690">
        <f>61745000+322000+6441000</f>
        <v>68508000</v>
      </c>
      <c r="D62" s="1690">
        <f>+D63+D64+D65+D68+D69+D70+D71+D72+D73+D74+D75+D80+D79+D81+D82+D84+D83</f>
        <v>74784446.945000023</v>
      </c>
      <c r="E62" s="1690">
        <f t="shared" ref="E62:J62" si="13">+E63+E64+E65+E68+E69+E70+E71+E72+E73+E74+E75+E80+E79+E81+E82+E84+E83</f>
        <v>6276446.9450000003</v>
      </c>
      <c r="F62" s="1690">
        <f t="shared" si="13"/>
        <v>68508000</v>
      </c>
      <c r="G62" s="1690">
        <f t="shared" si="13"/>
        <v>83065532.72299999</v>
      </c>
      <c r="H62" s="1690">
        <f t="shared" si="13"/>
        <v>83065532.72299999</v>
      </c>
      <c r="I62" s="1690">
        <f t="shared" si="13"/>
        <v>5677629.9620000003</v>
      </c>
      <c r="J62" s="1690">
        <f t="shared" si="13"/>
        <v>77387902.760999992</v>
      </c>
      <c r="K62" s="1691">
        <f>+G62/C62</f>
        <v>1.212493909076312</v>
      </c>
      <c r="L62" s="1691">
        <f t="shared" ref="L62:L75" si="14">+G62/D62</f>
        <v>1.1107327274090864</v>
      </c>
      <c r="M62" s="1690">
        <f>+G62+G93</f>
        <v>83245655.72299999</v>
      </c>
    </row>
    <row r="63" spans="1:13" s="1673" customFormat="1" ht="22.5" customHeight="1">
      <c r="A63" s="1701" t="s">
        <v>227</v>
      </c>
      <c r="B63" s="1702" t="s">
        <v>274</v>
      </c>
      <c r="C63" s="1703"/>
      <c r="D63" s="1703">
        <f t="shared" si="11"/>
        <v>627338.43599999999</v>
      </c>
      <c r="E63" s="1703">
        <v>1379.4359999999999</v>
      </c>
      <c r="F63" s="1703">
        <v>625959</v>
      </c>
      <c r="G63" s="1703">
        <f>+H63</f>
        <v>691087.12</v>
      </c>
      <c r="H63" s="1703">
        <f>+I63+J63</f>
        <v>691087.12</v>
      </c>
      <c r="I63" s="1703">
        <v>1379.4359999999999</v>
      </c>
      <c r="J63" s="1703">
        <f>691087.12-I63</f>
        <v>689707.68400000001</v>
      </c>
      <c r="K63" s="1700"/>
      <c r="L63" s="1700">
        <f t="shared" si="14"/>
        <v>1.1016176920490808</v>
      </c>
      <c r="M63" s="1690">
        <f>+D62+180.123</f>
        <v>74784627.068000019</v>
      </c>
    </row>
    <row r="64" spans="1:13" s="1673" customFormat="1" ht="22.5" customHeight="1">
      <c r="A64" s="1701" t="s">
        <v>228</v>
      </c>
      <c r="B64" s="1702" t="s">
        <v>342</v>
      </c>
      <c r="C64" s="1703"/>
      <c r="D64" s="1703">
        <f t="shared" si="11"/>
        <v>317350.3</v>
      </c>
      <c r="E64" s="1703">
        <v>4062.3</v>
      </c>
      <c r="F64" s="1703">
        <v>313288</v>
      </c>
      <c r="G64" s="1703">
        <f>+H64</f>
        <v>353690</v>
      </c>
      <c r="H64" s="1703">
        <f>+I64+J64</f>
        <v>353690</v>
      </c>
      <c r="I64" s="1703">
        <v>4062.3</v>
      </c>
      <c r="J64" s="1703">
        <f>353690-I64</f>
        <v>349627.7</v>
      </c>
      <c r="K64" s="1700"/>
      <c r="L64" s="1700">
        <f t="shared" si="14"/>
        <v>1.1145097389225724</v>
      </c>
      <c r="M64" s="1692"/>
    </row>
    <row r="65" spans="1:13" s="1673" customFormat="1" ht="22.5" customHeight="1">
      <c r="A65" s="1701" t="s">
        <v>235</v>
      </c>
      <c r="B65" s="1702" t="s">
        <v>1372</v>
      </c>
      <c r="C65" s="1703">
        <v>36074000</v>
      </c>
      <c r="D65" s="1703">
        <f t="shared" si="11"/>
        <v>38060426.476000004</v>
      </c>
      <c r="E65" s="1703">
        <f>57717.34+27453.728+16543+40000+3930.587+457146.547+97899.798+25735.476</f>
        <v>726426.47600000002</v>
      </c>
      <c r="F65" s="1703">
        <f>20000+36074000+120000+60000+900000+100000+60000</f>
        <v>37334000</v>
      </c>
      <c r="G65" s="1703">
        <f>+H65</f>
        <v>36826318.903999992</v>
      </c>
      <c r="H65" s="1703">
        <f>+I65+J65</f>
        <v>36826318.903999992</v>
      </c>
      <c r="I65" s="1703">
        <f>+I66+I67</f>
        <v>269279.929</v>
      </c>
      <c r="J65" s="1703">
        <f>+J66+J67</f>
        <v>36557038.974999994</v>
      </c>
      <c r="K65" s="1700">
        <f>+G65/C65</f>
        <v>1.0208548789710039</v>
      </c>
      <c r="L65" s="1700">
        <f t="shared" si="14"/>
        <v>0.96757504614988454</v>
      </c>
      <c r="M65" s="1692"/>
    </row>
    <row r="66" spans="1:13" s="1673" customFormat="1" ht="26.25" customHeight="1">
      <c r="A66" s="1701" t="s">
        <v>60</v>
      </c>
      <c r="B66" s="1702" t="s">
        <v>1387</v>
      </c>
      <c r="C66" s="1703"/>
      <c r="D66" s="1703">
        <f t="shared" si="11"/>
        <v>0</v>
      </c>
      <c r="E66" s="1703"/>
      <c r="F66" s="1703"/>
      <c r="G66" s="1703">
        <f>+H66</f>
        <v>36684604.835999995</v>
      </c>
      <c r="H66" s="1703">
        <f>+I66+J66</f>
        <v>36684604.835999995</v>
      </c>
      <c r="I66" s="1703">
        <v>127565.86100000002</v>
      </c>
      <c r="J66" s="1703">
        <f>36826318.904-I66-I67</f>
        <v>36557038.974999994</v>
      </c>
      <c r="K66" s="1700"/>
      <c r="L66" s="1700"/>
      <c r="M66" s="1692"/>
    </row>
    <row r="67" spans="1:13" s="1673" customFormat="1" ht="26.25" customHeight="1">
      <c r="A67" s="1701" t="s">
        <v>60</v>
      </c>
      <c r="B67" s="1702" t="s">
        <v>1388</v>
      </c>
      <c r="C67" s="1703"/>
      <c r="D67" s="1703">
        <f t="shared" si="11"/>
        <v>0</v>
      </c>
      <c r="E67" s="1703"/>
      <c r="F67" s="1703"/>
      <c r="G67" s="1703"/>
      <c r="H67" s="1703">
        <f>+I67+J67</f>
        <v>141714.068</v>
      </c>
      <c r="I67" s="1703">
        <v>141714.068</v>
      </c>
      <c r="J67" s="1703"/>
      <c r="K67" s="1700"/>
      <c r="L67" s="1700"/>
      <c r="M67" s="1692"/>
    </row>
    <row r="68" spans="1:13" s="1673" customFormat="1" ht="23.25" customHeight="1">
      <c r="A68" s="1701" t="s">
        <v>49</v>
      </c>
      <c r="B68" s="1702" t="s">
        <v>1373</v>
      </c>
      <c r="C68" s="1703"/>
      <c r="D68" s="1703">
        <f t="shared" si="11"/>
        <v>0</v>
      </c>
      <c r="E68" s="1703"/>
      <c r="F68" s="1703"/>
      <c r="G68" s="1703"/>
      <c r="H68" s="1703"/>
      <c r="I68" s="1703"/>
      <c r="J68" s="1703"/>
      <c r="K68" s="1700"/>
      <c r="L68" s="1700"/>
      <c r="M68" s="1692"/>
    </row>
    <row r="69" spans="1:13" s="1673" customFormat="1" ht="23.25" customHeight="1">
      <c r="A69" s="1701" t="s">
        <v>50</v>
      </c>
      <c r="B69" s="1702" t="s">
        <v>1374</v>
      </c>
      <c r="C69" s="1703"/>
      <c r="D69" s="1703">
        <f t="shared" si="11"/>
        <v>155700</v>
      </c>
      <c r="E69" s="1703"/>
      <c r="F69" s="1703">
        <v>155700</v>
      </c>
      <c r="G69" s="1703">
        <f t="shared" ref="G69:G80" si="15">+H69</f>
        <v>95296.5</v>
      </c>
      <c r="H69" s="1703">
        <f t="shared" ref="H69:H80" si="16">+I69+J69</f>
        <v>95296.5</v>
      </c>
      <c r="I69" s="1703"/>
      <c r="J69" s="1703">
        <v>95296.5</v>
      </c>
      <c r="K69" s="1700"/>
      <c r="L69" s="1700">
        <f t="shared" si="14"/>
        <v>0.61205202312138729</v>
      </c>
      <c r="M69" s="1692"/>
    </row>
    <row r="70" spans="1:13" s="1673" customFormat="1" ht="23.25" customHeight="1">
      <c r="A70" s="1701" t="s">
        <v>51</v>
      </c>
      <c r="B70" s="1702" t="s">
        <v>1375</v>
      </c>
      <c r="C70" s="1703"/>
      <c r="D70" s="1703">
        <f t="shared" si="11"/>
        <v>241400</v>
      </c>
      <c r="E70" s="1703"/>
      <c r="F70" s="1703">
        <f>70000+16400+30000+105000+20000</f>
        <v>241400</v>
      </c>
      <c r="G70" s="1703">
        <f t="shared" si="15"/>
        <v>872013.3</v>
      </c>
      <c r="H70" s="1703">
        <f t="shared" si="16"/>
        <v>872013.3</v>
      </c>
      <c r="I70" s="1703"/>
      <c r="J70" s="1703">
        <v>872013.3</v>
      </c>
      <c r="K70" s="1700"/>
      <c r="L70" s="1700">
        <f t="shared" si="14"/>
        <v>3.6123169014084509</v>
      </c>
      <c r="M70" s="1692"/>
    </row>
    <row r="71" spans="1:13" s="1673" customFormat="1" ht="23.25" customHeight="1">
      <c r="A71" s="1701" t="s">
        <v>52</v>
      </c>
      <c r="B71" s="1702" t="s">
        <v>1376</v>
      </c>
      <c r="C71" s="1703"/>
      <c r="D71" s="1703">
        <f t="shared" si="11"/>
        <v>30000</v>
      </c>
      <c r="E71" s="1703"/>
      <c r="F71" s="1703">
        <v>30000</v>
      </c>
      <c r="G71" s="1703">
        <f t="shared" si="15"/>
        <v>3360</v>
      </c>
      <c r="H71" s="1703">
        <f t="shared" si="16"/>
        <v>3360</v>
      </c>
      <c r="I71" s="1703"/>
      <c r="J71" s="1703">
        <v>3360</v>
      </c>
      <c r="K71" s="1700"/>
      <c r="L71" s="1700">
        <f t="shared" si="14"/>
        <v>0.112</v>
      </c>
      <c r="M71" s="1692"/>
    </row>
    <row r="72" spans="1:13" s="1673" customFormat="1" ht="23.25" customHeight="1">
      <c r="A72" s="1701" t="s">
        <v>53</v>
      </c>
      <c r="B72" s="1702" t="s">
        <v>1377</v>
      </c>
      <c r="C72" s="1703"/>
      <c r="D72" s="1703">
        <f t="shared" si="11"/>
        <v>82211</v>
      </c>
      <c r="E72" s="1703"/>
      <c r="F72" s="1703">
        <v>82211</v>
      </c>
      <c r="G72" s="1703">
        <f t="shared" si="15"/>
        <v>50785.82</v>
      </c>
      <c r="H72" s="1703">
        <f t="shared" si="16"/>
        <v>50785.82</v>
      </c>
      <c r="I72" s="1703"/>
      <c r="J72" s="1703">
        <v>50785.82</v>
      </c>
      <c r="K72" s="1700"/>
      <c r="L72" s="1700">
        <f t="shared" si="14"/>
        <v>0.61774969286348547</v>
      </c>
      <c r="M72" s="1692"/>
    </row>
    <row r="73" spans="1:13" s="1673" customFormat="1" ht="23.25" customHeight="1">
      <c r="A73" s="1701" t="s">
        <v>54</v>
      </c>
      <c r="B73" s="1702" t="s">
        <v>1378</v>
      </c>
      <c r="C73" s="1703"/>
      <c r="D73" s="1703">
        <f t="shared" si="11"/>
        <v>500000</v>
      </c>
      <c r="E73" s="1703">
        <v>300000</v>
      </c>
      <c r="F73" s="1703">
        <f>45000+40000+100000+15000</f>
        <v>200000</v>
      </c>
      <c r="G73" s="1703">
        <f t="shared" si="15"/>
        <v>500000</v>
      </c>
      <c r="H73" s="1703">
        <f t="shared" si="16"/>
        <v>500000</v>
      </c>
      <c r="I73" s="1703">
        <v>300000</v>
      </c>
      <c r="J73" s="1703">
        <f>500000-I73</f>
        <v>200000</v>
      </c>
      <c r="K73" s="1700"/>
      <c r="L73" s="1700">
        <f t="shared" si="14"/>
        <v>1</v>
      </c>
      <c r="M73" s="1692"/>
    </row>
    <row r="74" spans="1:13" s="1673" customFormat="1" ht="23.25" customHeight="1">
      <c r="A74" s="1701" t="s">
        <v>1389</v>
      </c>
      <c r="B74" s="1702" t="s">
        <v>344</v>
      </c>
      <c r="C74" s="1703"/>
      <c r="D74" s="1703">
        <f t="shared" si="11"/>
        <v>10795255.208000001</v>
      </c>
      <c r="E74" s="1703">
        <f>2520+614520.179+119801.6+1454239.029+1140455.4+39000</f>
        <v>3370536.2080000001</v>
      </c>
      <c r="F74" s="1703">
        <f>322000+2617719+500000+970000+108000+1446030+1095970+345000+20000</f>
        <v>7424719</v>
      </c>
      <c r="G74" s="1703">
        <f t="shared" si="15"/>
        <v>11503964.895</v>
      </c>
      <c r="H74" s="1703">
        <f t="shared" si="16"/>
        <v>11503964.895</v>
      </c>
      <c r="I74" s="1703">
        <v>3370536.2080000001</v>
      </c>
      <c r="J74" s="1703">
        <f>11503964.895-I74</f>
        <v>8133428.686999999</v>
      </c>
      <c r="K74" s="1700"/>
      <c r="L74" s="1700">
        <f t="shared" si="14"/>
        <v>1.0656501095476463</v>
      </c>
      <c r="M74" s="1692"/>
    </row>
    <row r="75" spans="1:13" s="1673" customFormat="1" ht="31.5">
      <c r="A75" s="1701" t="s">
        <v>1390</v>
      </c>
      <c r="B75" s="1702" t="s">
        <v>1379</v>
      </c>
      <c r="C75" s="1703"/>
      <c r="D75" s="1703">
        <f t="shared" si="11"/>
        <v>17789618.989</v>
      </c>
      <c r="E75" s="1703">
        <v>201941.989</v>
      </c>
      <c r="F75" s="1703">
        <f>15000+17561677+11000</f>
        <v>17587677</v>
      </c>
      <c r="G75" s="1703">
        <f t="shared" si="15"/>
        <v>27329291.058999997</v>
      </c>
      <c r="H75" s="1703">
        <f t="shared" si="16"/>
        <v>27329291.058999997</v>
      </c>
      <c r="I75" s="1703">
        <f>+I76+I77+I78</f>
        <v>1273683.0490000001</v>
      </c>
      <c r="J75" s="1703">
        <f>+J76+J77+J78</f>
        <v>26055608.009999998</v>
      </c>
      <c r="K75" s="1700"/>
      <c r="L75" s="1700">
        <f t="shared" si="14"/>
        <v>1.5362493753181976</v>
      </c>
      <c r="M75" s="1692"/>
    </row>
    <row r="76" spans="1:13" s="1673" customFormat="1" ht="21.75" customHeight="1">
      <c r="A76" s="1701" t="s">
        <v>60</v>
      </c>
      <c r="B76" s="1702" t="s">
        <v>1391</v>
      </c>
      <c r="C76" s="1703"/>
      <c r="D76" s="1703">
        <f t="shared" si="11"/>
        <v>0</v>
      </c>
      <c r="E76" s="1703"/>
      <c r="F76" s="1703"/>
      <c r="G76" s="1703">
        <f t="shared" si="15"/>
        <v>18572437.638</v>
      </c>
      <c r="H76" s="1703">
        <f t="shared" si="16"/>
        <v>18572437.638</v>
      </c>
      <c r="I76" s="1703">
        <v>200003.818</v>
      </c>
      <c r="J76" s="1703">
        <f>18572437.638-I76</f>
        <v>18372433.82</v>
      </c>
      <c r="K76" s="1700"/>
      <c r="L76" s="1700"/>
      <c r="M76" s="1720"/>
    </row>
    <row r="77" spans="1:13" s="1673" customFormat="1" ht="21.75" customHeight="1">
      <c r="A77" s="1701" t="s">
        <v>60</v>
      </c>
      <c r="B77" s="1702" t="s">
        <v>1392</v>
      </c>
      <c r="C77" s="1703"/>
      <c r="D77" s="1703">
        <f t="shared" si="11"/>
        <v>0</v>
      </c>
      <c r="E77" s="1703"/>
      <c r="F77" s="1703"/>
      <c r="G77" s="1703">
        <f t="shared" si="15"/>
        <v>5522566.8590000002</v>
      </c>
      <c r="H77" s="1703">
        <f t="shared" si="16"/>
        <v>5522566.8590000002</v>
      </c>
      <c r="I77" s="1703">
        <f>864477.9+1900.886</f>
        <v>866378.78600000008</v>
      </c>
      <c r="J77" s="1703">
        <f>5522566.859-I77</f>
        <v>4656188.0729999999</v>
      </c>
      <c r="K77" s="1700"/>
      <c r="L77" s="1700"/>
      <c r="M77" s="1692"/>
    </row>
    <row r="78" spans="1:13" s="1673" customFormat="1" ht="21.75" customHeight="1">
      <c r="A78" s="1701" t="s">
        <v>60</v>
      </c>
      <c r="B78" s="1702" t="s">
        <v>1393</v>
      </c>
      <c r="C78" s="1703"/>
      <c r="D78" s="1703">
        <f t="shared" si="11"/>
        <v>0</v>
      </c>
      <c r="E78" s="1703"/>
      <c r="F78" s="1703"/>
      <c r="G78" s="1703">
        <f t="shared" si="15"/>
        <v>3234286.5619999999</v>
      </c>
      <c r="H78" s="1703">
        <f t="shared" si="16"/>
        <v>3234286.5619999999</v>
      </c>
      <c r="I78" s="1703">
        <f>37.285+207263.16</f>
        <v>207300.44500000001</v>
      </c>
      <c r="J78" s="1703">
        <f>21000+3213286.562-I78</f>
        <v>3026986.1170000001</v>
      </c>
      <c r="K78" s="1700"/>
      <c r="L78" s="1700"/>
      <c r="M78" s="1692"/>
    </row>
    <row r="79" spans="1:13" s="1673" customFormat="1" ht="24" customHeight="1">
      <c r="A79" s="1701" t="s">
        <v>1394</v>
      </c>
      <c r="B79" s="1702" t="s">
        <v>1380</v>
      </c>
      <c r="C79" s="1703"/>
      <c r="D79" s="1703">
        <f t="shared" si="11"/>
        <v>4099535.04</v>
      </c>
      <c r="E79" s="1703">
        <v>158689.04</v>
      </c>
      <c r="F79" s="1703">
        <f>3655846+225000+60000</f>
        <v>3940846</v>
      </c>
      <c r="G79" s="1703">
        <f t="shared" si="15"/>
        <v>4529725.125</v>
      </c>
      <c r="H79" s="1703">
        <f t="shared" si="16"/>
        <v>4529725.125</v>
      </c>
      <c r="I79" s="1703">
        <v>158689.04</v>
      </c>
      <c r="J79" s="1703">
        <f>4529725.125-I79</f>
        <v>4371036.085</v>
      </c>
      <c r="K79" s="1700"/>
      <c r="L79" s="1700">
        <f>+G79/D79</f>
        <v>1.1049363112651918</v>
      </c>
      <c r="M79" s="1692"/>
    </row>
    <row r="80" spans="1:13" s="1673" customFormat="1" ht="24" customHeight="1">
      <c r="A80" s="1701" t="s">
        <v>1395</v>
      </c>
      <c r="B80" s="1702" t="s">
        <v>591</v>
      </c>
      <c r="C80" s="1703"/>
      <c r="D80" s="1703">
        <f t="shared" si="11"/>
        <v>207200</v>
      </c>
      <c r="E80" s="1703"/>
      <c r="F80" s="1703">
        <v>207200</v>
      </c>
      <c r="G80" s="1703">
        <f t="shared" si="15"/>
        <v>310000</v>
      </c>
      <c r="H80" s="1703">
        <f t="shared" si="16"/>
        <v>310000</v>
      </c>
      <c r="I80" s="1703">
        <v>300000</v>
      </c>
      <c r="J80" s="1703">
        <f>310000-I80</f>
        <v>10000</v>
      </c>
      <c r="K80" s="1700"/>
      <c r="L80" s="1700">
        <f>+G80/D80</f>
        <v>1.4961389961389961</v>
      </c>
      <c r="M80" s="1692"/>
    </row>
    <row r="81" spans="1:13" s="1673" customFormat="1" ht="24" customHeight="1">
      <c r="A81" s="1701" t="s">
        <v>1396</v>
      </c>
      <c r="B81" s="1702" t="s">
        <v>1397</v>
      </c>
      <c r="C81" s="1703"/>
      <c r="D81" s="1703">
        <f t="shared" si="11"/>
        <v>365000</v>
      </c>
      <c r="E81" s="1703"/>
      <c r="F81" s="1703">
        <v>365000</v>
      </c>
      <c r="G81" s="1703"/>
      <c r="H81" s="1703"/>
      <c r="I81" s="1721"/>
      <c r="J81" s="1703"/>
      <c r="K81" s="1700"/>
      <c r="L81" s="1700"/>
      <c r="M81" s="1692"/>
    </row>
    <row r="82" spans="1:13" s="1673" customFormat="1" ht="47.25">
      <c r="A82" s="1701" t="s">
        <v>1398</v>
      </c>
      <c r="B82" s="1702" t="s">
        <v>1399</v>
      </c>
      <c r="C82" s="1703"/>
      <c r="D82" s="1703">
        <f>+E82+F82</f>
        <v>1204511.496</v>
      </c>
      <c r="E82" s="1703">
        <v>1204511.496</v>
      </c>
      <c r="F82" s="1703"/>
      <c r="G82" s="1703"/>
      <c r="H82" s="1703"/>
      <c r="I82" s="1721"/>
      <c r="J82" s="1703"/>
      <c r="K82" s="1700"/>
      <c r="L82" s="1700"/>
      <c r="M82" s="1692"/>
    </row>
    <row r="83" spans="1:13" s="1673" customFormat="1" ht="31.5">
      <c r="A83" s="1701" t="s">
        <v>1400</v>
      </c>
      <c r="B83" s="1702" t="s">
        <v>1401</v>
      </c>
      <c r="C83" s="1703"/>
      <c r="D83" s="1703">
        <f>+E83+F83</f>
        <v>300000</v>
      </c>
      <c r="E83" s="1703">
        <v>300000</v>
      </c>
      <c r="F83" s="1703"/>
      <c r="G83" s="1703"/>
      <c r="H83" s="1703"/>
      <c r="I83" s="1721"/>
      <c r="J83" s="1703"/>
      <c r="K83" s="1700"/>
      <c r="L83" s="1700"/>
      <c r="M83" s="1692"/>
    </row>
    <row r="84" spans="1:13" s="1673" customFormat="1" ht="31.5">
      <c r="A84" s="1701" t="s">
        <v>1402</v>
      </c>
      <c r="B84" s="1702" t="s">
        <v>1403</v>
      </c>
      <c r="C84" s="1703"/>
      <c r="D84" s="1703">
        <f>+E84+F84</f>
        <v>8900</v>
      </c>
      <c r="E84" s="1703">
        <v>8900</v>
      </c>
      <c r="F84" s="1703"/>
      <c r="G84" s="1703"/>
      <c r="H84" s="1703"/>
      <c r="I84" s="1721"/>
      <c r="J84" s="1703"/>
      <c r="K84" s="1700"/>
      <c r="L84" s="1700"/>
      <c r="M84" s="1692"/>
    </row>
    <row r="85" spans="1:13" s="377" customFormat="1" ht="24" customHeight="1">
      <c r="A85" s="1688" t="s">
        <v>63</v>
      </c>
      <c r="B85" s="1689" t="s">
        <v>376</v>
      </c>
      <c r="C85" s="1690">
        <v>1150000</v>
      </c>
      <c r="D85" s="1690">
        <v>1150000</v>
      </c>
      <c r="E85" s="1690"/>
      <c r="F85" s="1690">
        <v>1150000</v>
      </c>
      <c r="G85" s="1690"/>
      <c r="H85" s="1690"/>
      <c r="I85" s="1722"/>
      <c r="J85" s="1690"/>
      <c r="K85" s="1691"/>
      <c r="L85" s="1691"/>
      <c r="M85" s="1693"/>
    </row>
    <row r="86" spans="1:13" s="1673" customFormat="1" ht="24.75" customHeight="1">
      <c r="A86" s="1688" t="s">
        <v>67</v>
      </c>
      <c r="B86" s="1689" t="s">
        <v>1404</v>
      </c>
      <c r="C86" s="1703"/>
      <c r="D86" s="1703"/>
      <c r="E86" s="1703"/>
      <c r="F86" s="1703"/>
      <c r="G86" s="1703">
        <f>+H86</f>
        <v>7524422.4069999997</v>
      </c>
      <c r="H86" s="1703">
        <f>+I86+J86</f>
        <v>7524422.4069999997</v>
      </c>
      <c r="I86" s="1723">
        <f>8900+1082819.885</f>
        <v>1091719.885</v>
      </c>
      <c r="J86" s="1703">
        <f>7524422.407-I86</f>
        <v>6432702.5219999999</v>
      </c>
      <c r="K86" s="1700"/>
      <c r="L86" s="1700"/>
      <c r="M86" s="1692"/>
    </row>
    <row r="87" spans="1:13" s="377" customFormat="1" ht="37.15" customHeight="1">
      <c r="A87" s="1688" t="s">
        <v>234</v>
      </c>
      <c r="B87" s="1689" t="s">
        <v>1405</v>
      </c>
      <c r="C87" s="1690"/>
      <c r="D87" s="1690">
        <f>+E87+F87</f>
        <v>155176.5</v>
      </c>
      <c r="E87" s="1690">
        <v>155176.5</v>
      </c>
      <c r="F87" s="1690"/>
      <c r="G87" s="1690"/>
      <c r="H87" s="1690"/>
      <c r="I87" s="1724"/>
      <c r="J87" s="1690"/>
      <c r="K87" s="1691"/>
      <c r="L87" s="1691"/>
      <c r="M87" s="1693"/>
    </row>
    <row r="88" spans="1:13" s="1673" customFormat="1" ht="24.75" customHeight="1">
      <c r="A88" s="1688" t="s">
        <v>295</v>
      </c>
      <c r="B88" s="1689" t="s">
        <v>1406</v>
      </c>
      <c r="C88" s="1703"/>
      <c r="D88" s="1703"/>
      <c r="E88" s="1703"/>
      <c r="F88" s="1703"/>
      <c r="G88" s="1703"/>
      <c r="H88" s="1703"/>
      <c r="I88" s="1703"/>
      <c r="J88" s="1703"/>
      <c r="K88" s="1700"/>
      <c r="L88" s="1700"/>
      <c r="M88" s="1692"/>
    </row>
    <row r="89" spans="1:13" s="1673" customFormat="1" ht="24.75" customHeight="1">
      <c r="A89" s="1701">
        <v>1</v>
      </c>
      <c r="B89" s="1702" t="s">
        <v>1407</v>
      </c>
      <c r="C89" s="1703"/>
      <c r="D89" s="1703"/>
      <c r="E89" s="1703"/>
      <c r="F89" s="1703"/>
      <c r="G89" s="1703"/>
      <c r="H89" s="1703"/>
      <c r="I89" s="1703"/>
      <c r="J89" s="1703"/>
      <c r="K89" s="1700"/>
      <c r="L89" s="1700"/>
      <c r="M89" s="1692"/>
    </row>
    <row r="90" spans="1:13" s="1673" customFormat="1" ht="24.75" customHeight="1">
      <c r="A90" s="1701">
        <v>2</v>
      </c>
      <c r="B90" s="1702" t="s">
        <v>47</v>
      </c>
      <c r="C90" s="1703"/>
      <c r="D90" s="1703"/>
      <c r="E90" s="1703"/>
      <c r="F90" s="1703"/>
      <c r="G90" s="1703"/>
      <c r="H90" s="1703"/>
      <c r="I90" s="1703"/>
      <c r="J90" s="1703"/>
      <c r="K90" s="1700"/>
      <c r="L90" s="1700"/>
      <c r="M90" s="1692"/>
    </row>
    <row r="91" spans="1:13" s="1673" customFormat="1" ht="24.75" customHeight="1">
      <c r="A91" s="1725"/>
      <c r="B91" s="1725" t="s">
        <v>1408</v>
      </c>
      <c r="C91" s="1703"/>
      <c r="D91" s="1703"/>
      <c r="E91" s="1703"/>
      <c r="F91" s="1703"/>
      <c r="G91" s="1703"/>
      <c r="H91" s="1703"/>
      <c r="I91" s="1703"/>
      <c r="J91" s="1703"/>
      <c r="K91" s="1700"/>
      <c r="L91" s="1700"/>
      <c r="M91" s="1692"/>
    </row>
    <row r="92" spans="1:13" s="1673" customFormat="1" ht="24.75" customHeight="1">
      <c r="A92" s="1725"/>
      <c r="B92" s="1725" t="s">
        <v>1409</v>
      </c>
      <c r="C92" s="1703"/>
      <c r="D92" s="1703"/>
      <c r="E92" s="1703"/>
      <c r="F92" s="1703"/>
      <c r="G92" s="1703"/>
      <c r="H92" s="1703"/>
      <c r="I92" s="1703"/>
      <c r="J92" s="1703"/>
      <c r="K92" s="1700"/>
      <c r="L92" s="1700"/>
      <c r="M92" s="1692"/>
    </row>
    <row r="93" spans="1:13" s="1673" customFormat="1" ht="24.75" customHeight="1">
      <c r="A93" s="1688" t="s">
        <v>229</v>
      </c>
      <c r="B93" s="1689" t="s">
        <v>1125</v>
      </c>
      <c r="C93" s="1703"/>
      <c r="D93" s="1703"/>
      <c r="E93" s="1703"/>
      <c r="F93" s="1703"/>
      <c r="G93" s="1703">
        <f>+H93</f>
        <v>180123</v>
      </c>
      <c r="H93" s="1703">
        <f>+I93+J93</f>
        <v>180123</v>
      </c>
      <c r="I93" s="1703">
        <v>180123</v>
      </c>
      <c r="J93" s="1703"/>
      <c r="K93" s="1700"/>
      <c r="L93" s="1700"/>
      <c r="M93" s="1692"/>
    </row>
    <row r="94" spans="1:13" s="377" customFormat="1" ht="24.75" customHeight="1">
      <c r="A94" s="1688"/>
      <c r="B94" s="1688" t="s">
        <v>1410</v>
      </c>
      <c r="C94" s="1690">
        <f t="shared" ref="C94:J94" si="17">+C93+C88+C10</f>
        <v>76858000</v>
      </c>
      <c r="D94" s="1690">
        <f>+D93+D88+D10</f>
        <v>89398879.111000031</v>
      </c>
      <c r="E94" s="1690">
        <f t="shared" si="17"/>
        <v>12540879.111000001</v>
      </c>
      <c r="F94" s="1690">
        <f t="shared" si="17"/>
        <v>76858000</v>
      </c>
      <c r="G94" s="1690">
        <f t="shared" si="17"/>
        <v>103957145.976</v>
      </c>
      <c r="H94" s="1690">
        <f t="shared" si="17"/>
        <v>103957145.976</v>
      </c>
      <c r="I94" s="1690">
        <f t="shared" si="17"/>
        <v>12721002.111</v>
      </c>
      <c r="J94" s="1690">
        <f t="shared" si="17"/>
        <v>91236143.864999995</v>
      </c>
      <c r="K94" s="1691">
        <f>+G94/C94</f>
        <v>1.3525871864477348</v>
      </c>
      <c r="L94" s="1691">
        <f>+G94/D94</f>
        <v>1.1628461901286709</v>
      </c>
      <c r="M94" s="1693"/>
    </row>
    <row r="95" spans="1:13" ht="68.25" hidden="1" customHeight="1">
      <c r="A95" s="1966" t="s">
        <v>1411</v>
      </c>
      <c r="B95" s="1966"/>
      <c r="C95" s="1966"/>
      <c r="D95" s="1966"/>
      <c r="E95" s="1966"/>
      <c r="F95" s="1966"/>
      <c r="G95" s="1966"/>
      <c r="H95" s="1966"/>
      <c r="I95" s="1966"/>
      <c r="J95" s="1966"/>
      <c r="K95" s="1966"/>
      <c r="L95" s="1966"/>
    </row>
    <row r="96" spans="1:13" ht="33" customHeight="1">
      <c r="A96" s="1967" t="s">
        <v>1422</v>
      </c>
      <c r="B96" s="1967"/>
      <c r="C96" s="1967"/>
      <c r="D96" s="1967"/>
      <c r="E96" s="1967"/>
      <c r="F96" s="1967"/>
      <c r="G96" s="1967"/>
      <c r="H96" s="1967"/>
      <c r="I96" s="1967"/>
      <c r="J96" s="1967"/>
      <c r="K96" s="1967"/>
      <c r="L96" s="1967"/>
      <c r="M96" s="1726"/>
    </row>
    <row r="97" spans="1:12" ht="17.25" customHeight="1">
      <c r="A97" s="1727"/>
    </row>
    <row r="98" spans="1:12" ht="15.75" customHeight="1">
      <c r="A98" s="1965" t="s">
        <v>1412</v>
      </c>
      <c r="B98" s="1965"/>
      <c r="C98" s="1951" t="s">
        <v>1413</v>
      </c>
      <c r="D98" s="1951"/>
      <c r="E98" s="1951"/>
      <c r="F98" s="1951"/>
      <c r="G98" s="1951"/>
      <c r="H98" s="1951"/>
      <c r="I98" s="1951" t="s">
        <v>1414</v>
      </c>
      <c r="J98" s="1951"/>
      <c r="K98" s="1951"/>
      <c r="L98" s="1951"/>
    </row>
    <row r="99" spans="1:12" ht="15.75" customHeight="1">
      <c r="A99" s="1964" t="s">
        <v>1415</v>
      </c>
      <c r="B99" s="1964"/>
      <c r="C99" s="1964" t="s">
        <v>1416</v>
      </c>
      <c r="D99" s="1964"/>
      <c r="E99" s="1964"/>
      <c r="F99" s="1964"/>
      <c r="G99" s="1964"/>
      <c r="H99" s="1964"/>
      <c r="I99" s="1964" t="s">
        <v>1417</v>
      </c>
      <c r="J99" s="1964"/>
      <c r="K99" s="1964"/>
      <c r="L99" s="1964"/>
    </row>
    <row r="100" spans="1:12" ht="15.75" customHeight="1">
      <c r="A100" s="1965" t="s">
        <v>141</v>
      </c>
      <c r="B100" s="1965"/>
      <c r="C100" s="1951" t="s">
        <v>141</v>
      </c>
      <c r="D100" s="1951"/>
      <c r="E100" s="1951"/>
      <c r="F100" s="1951"/>
      <c r="G100" s="1951"/>
      <c r="H100" s="1951"/>
      <c r="I100" s="1951" t="s">
        <v>141</v>
      </c>
      <c r="J100" s="1951"/>
      <c r="K100" s="1951"/>
      <c r="L100" s="1951"/>
    </row>
    <row r="101" spans="1:12" ht="31.5" hidden="1">
      <c r="A101" s="1728" t="s">
        <v>1418</v>
      </c>
    </row>
    <row r="102" spans="1:12" ht="409.5" hidden="1">
      <c r="A102" s="1729" t="s">
        <v>1419</v>
      </c>
    </row>
    <row r="103" spans="1:12" ht="299.25" hidden="1">
      <c r="A103" s="1729" t="s">
        <v>1420</v>
      </c>
    </row>
    <row r="104" spans="1:12" ht="362.25" hidden="1">
      <c r="A104" s="1729" t="s">
        <v>1421</v>
      </c>
    </row>
  </sheetData>
  <mergeCells count="28">
    <mergeCell ref="C6:F6"/>
    <mergeCell ref="A95:L95"/>
    <mergeCell ref="A96:L96"/>
    <mergeCell ref="A98:B98"/>
    <mergeCell ref="C98:H98"/>
    <mergeCell ref="I98:L98"/>
    <mergeCell ref="A99:B99"/>
    <mergeCell ref="C99:H99"/>
    <mergeCell ref="I99:L99"/>
    <mergeCell ref="A100:B100"/>
    <mergeCell ref="C100:H100"/>
    <mergeCell ref="I100:L100"/>
    <mergeCell ref="A1:C1"/>
    <mergeCell ref="A2:L2"/>
    <mergeCell ref="A3:L3"/>
    <mergeCell ref="A5:L5"/>
    <mergeCell ref="A6:A8"/>
    <mergeCell ref="K6:L6"/>
    <mergeCell ref="G6:J6"/>
    <mergeCell ref="C7:C8"/>
    <mergeCell ref="D7:D8"/>
    <mergeCell ref="E7:F7"/>
    <mergeCell ref="G7:G8"/>
    <mergeCell ref="H7:J7"/>
    <mergeCell ref="I1:L1"/>
    <mergeCell ref="K7:K8"/>
    <mergeCell ref="L7:L8"/>
    <mergeCell ref="B6:B8"/>
  </mergeCells>
  <printOptions horizontalCentered="1"/>
  <pageMargins left="0.2" right="0.2" top="0.5" bottom="0.5" header="0.3" footer="0.3"/>
  <pageSetup paperSize="9" scale="80" orientation="landscape"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3"/>
  <dimension ref="A1:O23"/>
  <sheetViews>
    <sheetView workbookViewId="0">
      <selection activeCell="O8" sqref="O8"/>
    </sheetView>
  </sheetViews>
  <sheetFormatPr defaultColWidth="9.28515625" defaultRowHeight="15.75"/>
  <cols>
    <col min="1" max="1" width="4.7109375" style="152" customWidth="1"/>
    <col min="2" max="2" width="47.7109375" style="59" customWidth="1"/>
    <col min="3" max="3" width="17.5703125" style="59" customWidth="1"/>
    <col min="4" max="4" width="18" style="153" customWidth="1"/>
    <col min="5" max="5" width="16.42578125" style="153" customWidth="1"/>
    <col min="6" max="6" width="1.7109375" style="109" hidden="1" customWidth="1"/>
    <col min="7" max="7" width="3.5703125" style="37" hidden="1" customWidth="1"/>
    <col min="8" max="8" width="16.28515625" style="111" customWidth="1"/>
    <col min="9" max="9" width="16.7109375" style="112" customWidth="1"/>
    <col min="10" max="10" width="16" style="112" customWidth="1"/>
    <col min="11" max="11" width="16.42578125" style="112" customWidth="1"/>
    <col min="12" max="12" width="16.28515625" style="112" customWidth="1"/>
    <col min="13" max="13" width="16.7109375" style="112" customWidth="1"/>
    <col min="14" max="14" width="15.7109375" style="112" customWidth="1"/>
    <col min="15" max="15" width="16.28515625" style="37" customWidth="1"/>
    <col min="16" max="16384" width="9.28515625" style="37"/>
  </cols>
  <sheetData>
    <row r="1" spans="1:15" ht="20.25">
      <c r="A1" s="1971" t="s">
        <v>533</v>
      </c>
      <c r="B1" s="1971"/>
      <c r="C1" s="1971"/>
      <c r="D1" s="1971"/>
      <c r="E1" s="1971"/>
      <c r="F1" s="1971"/>
      <c r="G1" s="1971"/>
      <c r="H1" s="1971"/>
      <c r="I1" s="1971"/>
      <c r="J1" s="1971"/>
      <c r="K1" s="1971"/>
      <c r="L1" s="1971"/>
      <c r="M1" s="1971"/>
      <c r="N1" s="1971"/>
    </row>
    <row r="2" spans="1:15" ht="33.75" customHeight="1">
      <c r="A2" s="1972" t="s">
        <v>685</v>
      </c>
      <c r="B2" s="1972"/>
      <c r="C2" s="1972"/>
      <c r="D2" s="1972"/>
      <c r="E2" s="1972"/>
      <c r="F2" s="1972"/>
      <c r="G2" s="1972"/>
      <c r="H2" s="1972"/>
      <c r="I2" s="1972"/>
      <c r="J2" s="1972"/>
      <c r="K2" s="1972"/>
      <c r="L2" s="1972"/>
      <c r="M2" s="1972"/>
      <c r="N2" s="1972"/>
    </row>
    <row r="3" spans="1:15" ht="19.5">
      <c r="A3" s="105"/>
      <c r="B3" s="106"/>
      <c r="C3" s="106"/>
      <c r="D3" s="107"/>
      <c r="E3" s="108"/>
      <c r="G3" s="110"/>
      <c r="L3" s="113"/>
      <c r="M3" s="114"/>
      <c r="N3" s="114"/>
    </row>
    <row r="4" spans="1:15" ht="21" customHeight="1">
      <c r="A4" s="1973" t="s">
        <v>534</v>
      </c>
      <c r="B4" s="1973" t="s">
        <v>535</v>
      </c>
      <c r="C4" s="1973" t="s">
        <v>519</v>
      </c>
      <c r="D4" s="1976" t="s">
        <v>183</v>
      </c>
      <c r="E4" s="1976" t="s">
        <v>184</v>
      </c>
      <c r="F4" s="1978" t="s">
        <v>536</v>
      </c>
      <c r="G4" s="1973" t="s">
        <v>537</v>
      </c>
      <c r="H4" s="1978" t="s">
        <v>538</v>
      </c>
      <c r="I4" s="1968" t="s">
        <v>231</v>
      </c>
      <c r="J4" s="1968"/>
      <c r="K4" s="1968" t="s">
        <v>539</v>
      </c>
      <c r="L4" s="1969" t="s">
        <v>512</v>
      </c>
      <c r="M4" s="1968" t="s">
        <v>198</v>
      </c>
      <c r="N4" s="1968"/>
    </row>
    <row r="5" spans="1:15" ht="19.5" customHeight="1">
      <c r="A5" s="1974"/>
      <c r="B5" s="1974"/>
      <c r="C5" s="1975"/>
      <c r="D5" s="1977"/>
      <c r="E5" s="1977"/>
      <c r="F5" s="1975"/>
      <c r="G5" s="1975"/>
      <c r="H5" s="1979"/>
      <c r="I5" s="115" t="s">
        <v>510</v>
      </c>
      <c r="J5" s="115" t="s">
        <v>511</v>
      </c>
      <c r="K5" s="1783"/>
      <c r="L5" s="1970"/>
      <c r="M5" s="103" t="s">
        <v>183</v>
      </c>
      <c r="N5" s="103" t="s">
        <v>184</v>
      </c>
    </row>
    <row r="6" spans="1:15" ht="30" customHeight="1">
      <c r="A6" s="116" t="s">
        <v>294</v>
      </c>
      <c r="B6" s="117" t="s">
        <v>540</v>
      </c>
      <c r="C6" s="118">
        <f>+C7+C9+C11</f>
        <v>33928329458</v>
      </c>
      <c r="D6" s="118">
        <f>+D7+D9+D11</f>
        <v>30338749559</v>
      </c>
      <c r="E6" s="118">
        <f>+E7+E9+E11</f>
        <v>3589579899</v>
      </c>
      <c r="F6" s="118">
        <f>F8</f>
        <v>0</v>
      </c>
      <c r="G6" s="118">
        <f>G8</f>
        <v>0</v>
      </c>
      <c r="H6" s="118">
        <f>+H15</f>
        <v>4516372358</v>
      </c>
      <c r="I6" s="118">
        <f>+I15</f>
        <v>2696268535</v>
      </c>
      <c r="J6" s="118">
        <f>+J15</f>
        <v>1820103823</v>
      </c>
      <c r="K6" s="60">
        <f>+K15</f>
        <v>20000000000</v>
      </c>
      <c r="L6" s="58">
        <f>C6-H6-K6</f>
        <v>9411957100</v>
      </c>
      <c r="M6" s="60">
        <f>+D6-I6-K6</f>
        <v>7642481024</v>
      </c>
      <c r="N6" s="60">
        <f>+E6-J6</f>
        <v>1769476076</v>
      </c>
    </row>
    <row r="7" spans="1:15" ht="27" customHeight="1">
      <c r="A7" s="116" t="s">
        <v>296</v>
      </c>
      <c r="B7" s="117" t="s">
        <v>541</v>
      </c>
      <c r="C7" s="201">
        <f>+C8</f>
        <v>26580455051</v>
      </c>
      <c r="D7" s="118">
        <f t="shared" ref="D7:N7" si="0">+D8</f>
        <v>24696921228</v>
      </c>
      <c r="E7" s="118">
        <f t="shared" si="0"/>
        <v>1883533823</v>
      </c>
      <c r="F7" s="118">
        <f t="shared" si="0"/>
        <v>0</v>
      </c>
      <c r="G7" s="118">
        <f t="shared" si="0"/>
        <v>0</v>
      </c>
      <c r="H7" s="118">
        <f t="shared" si="0"/>
        <v>0</v>
      </c>
      <c r="I7" s="118">
        <f t="shared" si="0"/>
        <v>0</v>
      </c>
      <c r="J7" s="118">
        <f t="shared" si="0"/>
        <v>0</v>
      </c>
      <c r="K7" s="118">
        <f t="shared" si="0"/>
        <v>0</v>
      </c>
      <c r="L7" s="118">
        <f t="shared" si="0"/>
        <v>0</v>
      </c>
      <c r="M7" s="118">
        <f t="shared" si="0"/>
        <v>0</v>
      </c>
      <c r="N7" s="118">
        <f t="shared" si="0"/>
        <v>0</v>
      </c>
      <c r="O7" s="110"/>
    </row>
    <row r="8" spans="1:15" ht="39" customHeight="1">
      <c r="A8" s="119">
        <v>1</v>
      </c>
      <c r="B8" s="120" t="s">
        <v>542</v>
      </c>
      <c r="C8" s="121">
        <f>SUM(D8:E8)</f>
        <v>26580455051</v>
      </c>
      <c r="D8" s="122">
        <v>24696921228</v>
      </c>
      <c r="E8" s="122">
        <v>1883533823</v>
      </c>
      <c r="F8" s="123"/>
      <c r="G8" s="124"/>
      <c r="H8" s="123"/>
      <c r="I8" s="123"/>
      <c r="J8" s="123"/>
      <c r="K8" s="123"/>
      <c r="L8" s="123">
        <f>SUM(L19:L20)</f>
        <v>0</v>
      </c>
      <c r="M8" s="125"/>
      <c r="N8" s="125"/>
    </row>
    <row r="9" spans="1:15" s="41" customFormat="1" ht="26.25" customHeight="1">
      <c r="A9" s="42" t="s">
        <v>139</v>
      </c>
      <c r="B9" s="78" t="s">
        <v>543</v>
      </c>
      <c r="C9" s="202">
        <f>+C10</f>
        <v>4365000000</v>
      </c>
      <c r="D9" s="132">
        <f>+D10</f>
        <v>4365000000</v>
      </c>
      <c r="E9" s="132"/>
      <c r="F9" s="128"/>
      <c r="G9" s="129"/>
      <c r="H9" s="128"/>
      <c r="I9" s="128"/>
      <c r="J9" s="128"/>
      <c r="K9" s="128"/>
      <c r="L9" s="128"/>
      <c r="M9" s="130"/>
      <c r="N9" s="130"/>
    </row>
    <row r="10" spans="1:15" ht="26.25" customHeight="1">
      <c r="A10" s="43">
        <v>4</v>
      </c>
      <c r="B10" s="79" t="s">
        <v>544</v>
      </c>
      <c r="C10" s="126">
        <f>SUM(D10:E10)</f>
        <v>4365000000</v>
      </c>
      <c r="D10" s="131">
        <v>4365000000</v>
      </c>
      <c r="E10" s="131"/>
      <c r="F10" s="128"/>
      <c r="G10" s="129"/>
      <c r="H10" s="128"/>
      <c r="I10" s="128"/>
      <c r="J10" s="128"/>
      <c r="K10" s="128"/>
      <c r="L10" s="128"/>
      <c r="M10" s="130"/>
      <c r="N10" s="130"/>
    </row>
    <row r="11" spans="1:15" s="41" customFormat="1" ht="26.25" customHeight="1">
      <c r="A11" s="42" t="s">
        <v>62</v>
      </c>
      <c r="B11" s="78" t="s">
        <v>545</v>
      </c>
      <c r="C11" s="132">
        <f>SUM(C12:C14)</f>
        <v>2982874407</v>
      </c>
      <c r="D11" s="132">
        <f t="shared" ref="D11:L11" si="1">SUM(D12:D14)</f>
        <v>1276828331</v>
      </c>
      <c r="E11" s="132">
        <f t="shared" si="1"/>
        <v>1706046076</v>
      </c>
      <c r="F11" s="132">
        <f t="shared" si="1"/>
        <v>0</v>
      </c>
      <c r="G11" s="132">
        <f t="shared" si="1"/>
        <v>0</v>
      </c>
      <c r="H11" s="132">
        <f t="shared" si="1"/>
        <v>0</v>
      </c>
      <c r="I11" s="132">
        <f t="shared" si="1"/>
        <v>0</v>
      </c>
      <c r="J11" s="132">
        <f t="shared" si="1"/>
        <v>0</v>
      </c>
      <c r="K11" s="132">
        <f t="shared" si="1"/>
        <v>0</v>
      </c>
      <c r="L11" s="132">
        <f t="shared" si="1"/>
        <v>0</v>
      </c>
      <c r="M11" s="132">
        <f>SUM(M12:M15)</f>
        <v>0</v>
      </c>
      <c r="N11" s="132">
        <f>SUM(N12:N15)</f>
        <v>0</v>
      </c>
    </row>
    <row r="12" spans="1:15" ht="29.25" customHeight="1">
      <c r="A12" s="43">
        <v>5</v>
      </c>
      <c r="B12" s="79" t="s">
        <v>600</v>
      </c>
      <c r="C12" s="126">
        <f>SUM(D12:E12)</f>
        <v>96247930</v>
      </c>
      <c r="D12" s="133">
        <v>96247930</v>
      </c>
      <c r="E12" s="133"/>
      <c r="F12" s="128"/>
      <c r="G12" s="129"/>
      <c r="H12" s="128"/>
      <c r="I12" s="128"/>
      <c r="J12" s="128"/>
      <c r="K12" s="128"/>
      <c r="L12" s="128"/>
      <c r="M12" s="130"/>
      <c r="N12" s="130"/>
    </row>
    <row r="13" spans="1:15" ht="29.25" customHeight="1">
      <c r="A13" s="43">
        <v>5</v>
      </c>
      <c r="B13" s="79" t="s">
        <v>546</v>
      </c>
      <c r="C13" s="126">
        <f>SUM(D13:E13)</f>
        <v>1180580401</v>
      </c>
      <c r="D13" s="133">
        <f>1244010401-63430000</f>
        <v>1180580401</v>
      </c>
      <c r="E13" s="133"/>
      <c r="F13" s="128"/>
      <c r="G13" s="129"/>
      <c r="H13" s="128"/>
      <c r="I13" s="128"/>
      <c r="J13" s="128"/>
      <c r="K13" s="128"/>
      <c r="L13" s="128"/>
      <c r="M13" s="130"/>
      <c r="N13" s="130"/>
    </row>
    <row r="14" spans="1:15" ht="29.25" customHeight="1">
      <c r="A14" s="43">
        <v>6</v>
      </c>
      <c r="B14" s="79" t="s">
        <v>599</v>
      </c>
      <c r="C14" s="126">
        <f>SUM(D14:E14)</f>
        <v>1706046076</v>
      </c>
      <c r="D14" s="127"/>
      <c r="E14" s="127">
        <v>1706046076</v>
      </c>
      <c r="F14" s="128"/>
      <c r="G14" s="129"/>
      <c r="H14" s="128"/>
      <c r="I14" s="128"/>
      <c r="J14" s="128"/>
      <c r="K14" s="128"/>
      <c r="L14" s="128"/>
      <c r="M14" s="130"/>
      <c r="N14" s="130"/>
    </row>
    <row r="15" spans="1:15" s="41" customFormat="1" ht="24.75" customHeight="1">
      <c r="A15" s="78" t="s">
        <v>295</v>
      </c>
      <c r="B15" s="78" t="s">
        <v>547</v>
      </c>
      <c r="C15" s="78"/>
      <c r="D15" s="132"/>
      <c r="E15" s="132"/>
      <c r="F15" s="128"/>
      <c r="G15" s="129"/>
      <c r="H15" s="134">
        <f>SUM(H16:H22)</f>
        <v>4516372358</v>
      </c>
      <c r="I15" s="134">
        <f>SUM(I16:I22)</f>
        <v>2696268535</v>
      </c>
      <c r="J15" s="134">
        <f>SUM(J16:J22)</f>
        <v>1820103823</v>
      </c>
      <c r="K15" s="134">
        <f>SUM(K16:K22)</f>
        <v>20000000000</v>
      </c>
      <c r="L15" s="134">
        <f>SUM(L16:L22)</f>
        <v>0</v>
      </c>
      <c r="M15" s="134">
        <f>SUM(M16:M23)</f>
        <v>0</v>
      </c>
      <c r="N15" s="134">
        <f>SUM(N16:N23)</f>
        <v>0</v>
      </c>
    </row>
    <row r="16" spans="1:15" ht="33.75" customHeight="1">
      <c r="A16" s="79">
        <v>1</v>
      </c>
      <c r="B16" s="197" t="s">
        <v>595</v>
      </c>
      <c r="C16" s="79"/>
      <c r="D16" s="131"/>
      <c r="E16" s="131"/>
      <c r="F16" s="135"/>
      <c r="G16" s="136"/>
      <c r="H16" s="137">
        <f t="shared" ref="H16:H23" si="2">SUM(I16:J16)</f>
        <v>77666320</v>
      </c>
      <c r="I16" s="137"/>
      <c r="J16" s="137">
        <v>77666320</v>
      </c>
      <c r="K16" s="137"/>
      <c r="L16" s="135"/>
      <c r="M16" s="138"/>
      <c r="N16" s="138"/>
    </row>
    <row r="17" spans="1:14" ht="33.75" customHeight="1">
      <c r="A17" s="79">
        <v>2</v>
      </c>
      <c r="B17" s="196" t="s">
        <v>596</v>
      </c>
      <c r="C17" s="79"/>
      <c r="D17" s="131"/>
      <c r="E17" s="131"/>
      <c r="F17" s="135"/>
      <c r="G17" s="136"/>
      <c r="H17" s="137">
        <f t="shared" si="2"/>
        <v>561857102</v>
      </c>
      <c r="I17" s="137"/>
      <c r="J17" s="137">
        <v>561857102</v>
      </c>
      <c r="K17" s="137"/>
      <c r="L17" s="135"/>
      <c r="M17" s="138"/>
      <c r="N17" s="138"/>
    </row>
    <row r="18" spans="1:14" ht="33.75" customHeight="1">
      <c r="A18" s="79">
        <v>3</v>
      </c>
      <c r="B18" s="196" t="s">
        <v>601</v>
      </c>
      <c r="C18" s="79"/>
      <c r="D18" s="131"/>
      <c r="E18" s="131"/>
      <c r="F18" s="135"/>
      <c r="G18" s="136"/>
      <c r="H18" s="137">
        <f t="shared" si="2"/>
        <v>186478000</v>
      </c>
      <c r="I18" s="137">
        <v>186478000</v>
      </c>
      <c r="J18" s="137"/>
      <c r="K18" s="137"/>
      <c r="L18" s="135"/>
      <c r="M18" s="138"/>
      <c r="N18" s="138"/>
    </row>
    <row r="19" spans="1:14" s="33" customFormat="1" ht="28.5" customHeight="1">
      <c r="A19" s="139">
        <v>4</v>
      </c>
      <c r="B19" s="196" t="s">
        <v>602</v>
      </c>
      <c r="C19" s="79"/>
      <c r="D19" s="131"/>
      <c r="E19" s="131"/>
      <c r="F19" s="135">
        <v>2209</v>
      </c>
      <c r="G19" s="136" t="s">
        <v>548</v>
      </c>
      <c r="H19" s="137">
        <f t="shared" si="2"/>
        <v>139484727</v>
      </c>
      <c r="I19" s="137">
        <v>139484727</v>
      </c>
      <c r="J19" s="137"/>
      <c r="K19" s="137"/>
      <c r="L19" s="140"/>
      <c r="M19" s="140"/>
      <c r="N19" s="140"/>
    </row>
    <row r="20" spans="1:14" s="33" customFormat="1" ht="19.5" customHeight="1">
      <c r="A20" s="79">
        <v>5</v>
      </c>
      <c r="B20" s="196" t="s">
        <v>597</v>
      </c>
      <c r="C20" s="143"/>
      <c r="D20" s="142"/>
      <c r="E20" s="142"/>
      <c r="F20" s="135"/>
      <c r="G20" s="143"/>
      <c r="H20" s="137">
        <f t="shared" si="2"/>
        <v>1782394558</v>
      </c>
      <c r="I20" s="137">
        <v>1782394558</v>
      </c>
      <c r="J20" s="137"/>
      <c r="K20" s="137"/>
      <c r="L20" s="135"/>
      <c r="M20" s="138"/>
      <c r="N20" s="138"/>
    </row>
    <row r="21" spans="1:14" s="33" customFormat="1" ht="23.25" customHeight="1">
      <c r="A21" s="79">
        <v>6</v>
      </c>
      <c r="B21" s="144" t="s">
        <v>603</v>
      </c>
      <c r="C21" s="143"/>
      <c r="D21" s="142"/>
      <c r="E21" s="142"/>
      <c r="F21" s="135"/>
      <c r="G21" s="143"/>
      <c r="H21" s="137">
        <f t="shared" si="2"/>
        <v>587911250</v>
      </c>
      <c r="I21" s="137">
        <v>587911250</v>
      </c>
      <c r="J21" s="137"/>
      <c r="K21" s="137"/>
      <c r="L21" s="135"/>
      <c r="M21" s="138"/>
      <c r="N21" s="138"/>
    </row>
    <row r="22" spans="1:14" s="33" customFormat="1" ht="26.25" customHeight="1">
      <c r="A22" s="141"/>
      <c r="B22" s="144" t="s">
        <v>604</v>
      </c>
      <c r="C22" s="143"/>
      <c r="D22" s="142"/>
      <c r="E22" s="142"/>
      <c r="F22" s="135"/>
      <c r="G22" s="143"/>
      <c r="H22" s="137">
        <f t="shared" si="2"/>
        <v>1180580401</v>
      </c>
      <c r="I22" s="137"/>
      <c r="J22" s="133">
        <f>+D13</f>
        <v>1180580401</v>
      </c>
      <c r="K22" s="137">
        <v>20000000000</v>
      </c>
      <c r="L22" s="135"/>
      <c r="M22" s="138"/>
      <c r="N22" s="138"/>
    </row>
    <row r="23" spans="1:14" ht="21" customHeight="1">
      <c r="A23" s="145"/>
      <c r="B23" s="146"/>
      <c r="C23" s="147"/>
      <c r="D23" s="148"/>
      <c r="E23" s="148"/>
      <c r="F23" s="149"/>
      <c r="G23" s="147"/>
      <c r="H23" s="150">
        <f t="shared" si="2"/>
        <v>0</v>
      </c>
      <c r="I23" s="149"/>
      <c r="J23" s="149"/>
      <c r="K23" s="149" t="s">
        <v>523</v>
      </c>
      <c r="L23" s="149"/>
      <c r="M23" s="151"/>
      <c r="N23" s="151"/>
    </row>
  </sheetData>
  <mergeCells count="14">
    <mergeCell ref="I4:J4"/>
    <mergeCell ref="K4:K5"/>
    <mergeCell ref="L4:L5"/>
    <mergeCell ref="M4:N4"/>
    <mergeCell ref="A1:N1"/>
    <mergeCell ref="A2:N2"/>
    <mergeCell ref="A4:A5"/>
    <mergeCell ref="B4:B5"/>
    <mergeCell ref="C4:C5"/>
    <mergeCell ref="D4:D5"/>
    <mergeCell ref="E4:E5"/>
    <mergeCell ref="F4:F5"/>
    <mergeCell ref="G4:G5"/>
    <mergeCell ref="H4:H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5"/>
  <dimension ref="A2:AP112"/>
  <sheetViews>
    <sheetView topLeftCell="A4" zoomScale="170" zoomScaleNormal="170" workbookViewId="0">
      <pane xSplit="23" ySplit="3" topLeftCell="AE13" activePane="bottomRight" state="frozen"/>
      <selection activeCell="A4" sqref="A4"/>
      <selection pane="topRight" activeCell="X4" sqref="X4"/>
      <selection pane="bottomLeft" activeCell="A7" sqref="A7"/>
      <selection pane="bottomRight" activeCell="AP12" sqref="AP12"/>
    </sheetView>
  </sheetViews>
  <sheetFormatPr defaultRowHeight="15"/>
  <cols>
    <col min="1" max="1" width="3.5703125" style="24" customWidth="1"/>
    <col min="2" max="2" width="17.28515625" style="24" customWidth="1"/>
    <col min="3" max="23" width="0" style="24" hidden="1" customWidth="1"/>
    <col min="24" max="24" width="9.42578125" style="247" customWidth="1"/>
    <col min="25" max="25" width="10.5703125" style="247" customWidth="1"/>
    <col min="26" max="26" width="10.42578125" style="247" customWidth="1"/>
    <col min="27" max="27" width="11.5703125" style="223" customWidth="1"/>
    <col min="28" max="28" width="11.5703125" style="327" customWidth="1"/>
    <col min="29" max="29" width="9.28515625" style="327" customWidth="1"/>
    <col min="30" max="30" width="9.5703125" style="327" customWidth="1"/>
    <col min="31" max="33" width="10" style="327" customWidth="1"/>
    <col min="34" max="40" width="10" style="328" customWidth="1"/>
    <col min="41" max="41" width="16.7109375" bestFit="1" customWidth="1"/>
    <col min="42" max="42" width="12.7109375" bestFit="1" customWidth="1"/>
  </cols>
  <sheetData>
    <row r="2" spans="1:42">
      <c r="X2" s="247">
        <v>1</v>
      </c>
      <c r="Y2" s="247">
        <v>2</v>
      </c>
      <c r="Z2" s="247">
        <v>3</v>
      </c>
      <c r="AA2" s="247">
        <v>4</v>
      </c>
      <c r="AB2" s="279">
        <v>5</v>
      </c>
      <c r="AC2" s="279">
        <v>6</v>
      </c>
      <c r="AD2" s="279">
        <v>7</v>
      </c>
      <c r="AE2" s="279">
        <v>8</v>
      </c>
      <c r="AF2" s="279">
        <v>9</v>
      </c>
      <c r="AG2" s="279">
        <v>10</v>
      </c>
      <c r="AH2" s="279">
        <v>11</v>
      </c>
      <c r="AI2" s="279">
        <v>12</v>
      </c>
      <c r="AJ2" s="279">
        <v>13</v>
      </c>
      <c r="AK2" s="279">
        <v>14</v>
      </c>
      <c r="AL2" s="279">
        <v>15</v>
      </c>
      <c r="AM2" s="279">
        <v>16</v>
      </c>
      <c r="AN2" s="279">
        <v>17</v>
      </c>
    </row>
    <row r="3" spans="1:42" ht="15.75" customHeight="1">
      <c r="A3" s="226"/>
      <c r="B3" s="226"/>
      <c r="C3" s="226"/>
      <c r="D3" s="226"/>
      <c r="E3" s="226"/>
      <c r="F3" s="226"/>
      <c r="G3" s="226"/>
      <c r="H3" s="226"/>
      <c r="I3" s="226"/>
      <c r="J3" s="226"/>
      <c r="K3" s="226"/>
      <c r="L3" s="226"/>
      <c r="M3" s="226"/>
      <c r="N3" s="226"/>
      <c r="O3" s="226"/>
      <c r="P3" s="226"/>
      <c r="Q3" s="226"/>
      <c r="R3" s="226"/>
      <c r="S3" s="226"/>
      <c r="T3" s="226"/>
      <c r="U3" s="226"/>
      <c r="V3" s="226"/>
      <c r="W3" s="226"/>
      <c r="X3" s="280" t="s">
        <v>638</v>
      </c>
      <c r="Y3" s="280" t="s">
        <v>289</v>
      </c>
      <c r="Z3" s="280" t="s">
        <v>639</v>
      </c>
      <c r="AA3" s="280" t="s">
        <v>288</v>
      </c>
      <c r="AB3" s="281" t="s">
        <v>641</v>
      </c>
      <c r="AC3" s="281" t="s">
        <v>642</v>
      </c>
      <c r="AD3" s="281" t="s">
        <v>643</v>
      </c>
      <c r="AE3" s="281" t="s">
        <v>644</v>
      </c>
      <c r="AF3" s="281" t="s">
        <v>645</v>
      </c>
      <c r="AG3" s="281" t="s">
        <v>517</v>
      </c>
      <c r="AH3" s="281" t="s">
        <v>284</v>
      </c>
      <c r="AI3" s="281" t="s">
        <v>287</v>
      </c>
      <c r="AJ3" s="281" t="s">
        <v>646</v>
      </c>
      <c r="AK3" s="281" t="s">
        <v>647</v>
      </c>
      <c r="AL3" s="281" t="s">
        <v>648</v>
      </c>
      <c r="AM3" s="281" t="s">
        <v>286</v>
      </c>
      <c r="AN3" s="281" t="s">
        <v>649</v>
      </c>
    </row>
    <row r="4" spans="1:42">
      <c r="A4" s="226"/>
      <c r="B4" s="226"/>
      <c r="C4" s="226"/>
      <c r="D4" s="226"/>
      <c r="E4" s="226"/>
      <c r="F4" s="226"/>
      <c r="G4" s="226"/>
      <c r="H4" s="226"/>
      <c r="I4" s="226"/>
      <c r="J4" s="226"/>
      <c r="K4" s="226"/>
      <c r="L4" s="226"/>
      <c r="M4" s="226"/>
      <c r="N4" s="226"/>
      <c r="O4" s="226"/>
      <c r="P4" s="226"/>
      <c r="Q4" s="226"/>
      <c r="R4" s="226"/>
      <c r="S4" s="226"/>
      <c r="T4" s="226"/>
      <c r="U4" s="226"/>
      <c r="V4" s="226"/>
      <c r="W4" s="226"/>
      <c r="X4" s="248"/>
      <c r="Y4" s="248"/>
      <c r="Z4" s="248"/>
      <c r="AA4" s="248"/>
      <c r="AB4" s="281"/>
      <c r="AC4" s="281"/>
      <c r="AD4" s="281"/>
      <c r="AE4" s="281"/>
      <c r="AF4" s="281"/>
      <c r="AG4" s="281"/>
      <c r="AH4" s="281"/>
      <c r="AI4" s="281"/>
      <c r="AJ4" s="281"/>
      <c r="AK4" s="281"/>
      <c r="AL4" s="281"/>
      <c r="AM4" s="282"/>
      <c r="AN4" s="282"/>
    </row>
    <row r="5" spans="1:42" s="277" customFormat="1" ht="14.25">
      <c r="A5" s="274"/>
      <c r="B5" s="274" t="s">
        <v>640</v>
      </c>
      <c r="C5" s="274"/>
      <c r="D5" s="274"/>
      <c r="E5" s="274"/>
      <c r="F5" s="274"/>
      <c r="G5" s="274"/>
      <c r="H5" s="274"/>
      <c r="I5" s="274"/>
      <c r="J5" s="274"/>
      <c r="K5" s="274"/>
      <c r="L5" s="274"/>
      <c r="M5" s="274"/>
      <c r="N5" s="274"/>
      <c r="O5" s="274"/>
      <c r="P5" s="274"/>
      <c r="Q5" s="274"/>
      <c r="R5" s="274"/>
      <c r="S5" s="274"/>
      <c r="T5" s="274"/>
      <c r="U5" s="274"/>
      <c r="V5" s="274"/>
      <c r="W5" s="274"/>
      <c r="X5" s="275"/>
      <c r="Y5" s="275"/>
      <c r="Z5" s="275"/>
      <c r="AA5" s="276"/>
      <c r="AB5" s="283"/>
      <c r="AC5" s="283"/>
      <c r="AD5" s="283"/>
      <c r="AE5" s="283"/>
      <c r="AF5" s="283"/>
      <c r="AG5" s="283"/>
      <c r="AH5" s="284"/>
      <c r="AI5" s="284"/>
      <c r="AJ5" s="284"/>
      <c r="AK5" s="284"/>
      <c r="AL5" s="284"/>
      <c r="AM5" s="285"/>
      <c r="AN5" s="285"/>
    </row>
    <row r="6" spans="1:42" s="21" customFormat="1" ht="14.25">
      <c r="A6" s="249"/>
      <c r="B6" s="249" t="s">
        <v>293</v>
      </c>
      <c r="C6" s="249"/>
      <c r="D6" s="249"/>
      <c r="E6" s="249"/>
      <c r="F6" s="249"/>
      <c r="G6" s="249"/>
      <c r="H6" s="249"/>
      <c r="I6" s="249"/>
      <c r="J6" s="249"/>
      <c r="K6" s="249"/>
      <c r="L6" s="249"/>
      <c r="M6" s="249"/>
      <c r="N6" s="249"/>
      <c r="O6" s="249"/>
      <c r="P6" s="249"/>
      <c r="Q6" s="249"/>
      <c r="R6" s="249"/>
      <c r="S6" s="249"/>
      <c r="T6" s="249"/>
      <c r="U6" s="249"/>
      <c r="V6" s="249"/>
      <c r="W6" s="249"/>
      <c r="X6" s="250">
        <f>+X7+X10+X13+X16</f>
        <v>540350000</v>
      </c>
      <c r="Y6" s="250">
        <f t="shared" ref="Y6:AN6" si="0">+Y7+Y10+Y13+Y16</f>
        <v>3390318643</v>
      </c>
      <c r="Z6" s="250">
        <f t="shared" si="0"/>
        <v>3008360000</v>
      </c>
      <c r="AA6" s="251">
        <f t="shared" si="0"/>
        <v>895140000</v>
      </c>
      <c r="AB6" s="286">
        <f t="shared" si="0"/>
        <v>1649817000</v>
      </c>
      <c r="AC6" s="286">
        <f t="shared" si="0"/>
        <v>2084102018</v>
      </c>
      <c r="AD6" s="286">
        <f t="shared" si="0"/>
        <v>2950590000</v>
      </c>
      <c r="AE6" s="286">
        <f t="shared" si="0"/>
        <v>1822835479</v>
      </c>
      <c r="AF6" s="286">
        <f t="shared" si="0"/>
        <v>3479630501</v>
      </c>
      <c r="AG6" s="286">
        <f t="shared" si="0"/>
        <v>798444653</v>
      </c>
      <c r="AH6" s="286">
        <f t="shared" si="0"/>
        <v>2863660000</v>
      </c>
      <c r="AI6" s="286">
        <f t="shared" si="0"/>
        <v>2971793822</v>
      </c>
      <c r="AJ6" s="286">
        <f t="shared" si="0"/>
        <v>3064928320</v>
      </c>
      <c r="AK6" s="286">
        <f t="shared" si="0"/>
        <v>3157087000</v>
      </c>
      <c r="AL6" s="286">
        <f t="shared" si="0"/>
        <v>1571770000</v>
      </c>
      <c r="AM6" s="286">
        <f t="shared" si="0"/>
        <v>3320620637</v>
      </c>
      <c r="AN6" s="286">
        <f t="shared" si="0"/>
        <v>444200000</v>
      </c>
      <c r="AO6" s="278">
        <f>SUM(X6:AN6)</f>
        <v>38013648073</v>
      </c>
    </row>
    <row r="7" spans="1:42" s="218" customFormat="1" ht="28.5" customHeight="1">
      <c r="A7" s="227" t="s">
        <v>60</v>
      </c>
      <c r="B7" s="228" t="s">
        <v>624</v>
      </c>
      <c r="C7" s="229">
        <f>+D7+I7</f>
        <v>4136000000</v>
      </c>
      <c r="D7" s="230">
        <f t="shared" ref="D7:D15" si="1">SUM(E7:H7)</f>
        <v>530000000</v>
      </c>
      <c r="E7" s="230">
        <v>0</v>
      </c>
      <c r="F7" s="230">
        <v>530000000</v>
      </c>
      <c r="G7" s="230">
        <v>0</v>
      </c>
      <c r="H7" s="230">
        <v>0</v>
      </c>
      <c r="I7" s="230">
        <f>SUM(J7:M7)-N7</f>
        <v>3606000000</v>
      </c>
      <c r="J7" s="230">
        <f>SUM(J8:J9)</f>
        <v>0</v>
      </c>
      <c r="K7" s="230">
        <f>SUM(K8:K9)</f>
        <v>3574000000</v>
      </c>
      <c r="L7" s="230">
        <f>SUM(L8:L9)</f>
        <v>32000000</v>
      </c>
      <c r="M7" s="230">
        <f>SUM(M8:M9)</f>
        <v>0</v>
      </c>
      <c r="N7" s="230">
        <f>SUM(N8:N9)</f>
        <v>0</v>
      </c>
      <c r="O7" s="229">
        <f>SUM(P7:Q7)</f>
        <v>0</v>
      </c>
      <c r="P7" s="229">
        <f>SUM(P8:P9)</f>
        <v>0</v>
      </c>
      <c r="Q7" s="229">
        <f>SUM(Q8:Q9)</f>
        <v>0</v>
      </c>
      <c r="R7" s="229">
        <f>SUM(R8:R9)</f>
        <v>0</v>
      </c>
      <c r="S7" s="229">
        <f>+C7-O7-R7</f>
        <v>4136000000</v>
      </c>
      <c r="T7" s="229">
        <f>SUM(T8:T9)</f>
        <v>174000000</v>
      </c>
      <c r="U7" s="229">
        <f>SUM(U8:U9)</f>
        <v>0</v>
      </c>
      <c r="V7" s="229">
        <f>SUM(V8:V9)</f>
        <v>4136000000</v>
      </c>
      <c r="W7" s="229">
        <f>SUM(W8:W9)</f>
        <v>0</v>
      </c>
      <c r="X7" s="231">
        <f>SUM(X8:X9)</f>
        <v>176000000</v>
      </c>
      <c r="Y7" s="231">
        <f t="shared" ref="Y7:AN7" si="2">SUM(Y8:Y9)</f>
        <v>176000000</v>
      </c>
      <c r="Z7" s="231">
        <f t="shared" si="2"/>
        <v>352000000</v>
      </c>
      <c r="AA7" s="224">
        <f>SUM(AA8:AA9)</f>
        <v>88000000</v>
      </c>
      <c r="AB7" s="287">
        <f t="shared" si="2"/>
        <v>792000000</v>
      </c>
      <c r="AC7" s="287">
        <f t="shared" si="2"/>
        <v>88000000</v>
      </c>
      <c r="AD7" s="287">
        <f t="shared" si="2"/>
        <v>264000000</v>
      </c>
      <c r="AE7" s="287">
        <f t="shared" si="2"/>
        <v>176000000</v>
      </c>
      <c r="AF7" s="287">
        <f t="shared" si="2"/>
        <v>638500000</v>
      </c>
      <c r="AG7" s="287">
        <f t="shared" si="2"/>
        <v>44000000</v>
      </c>
      <c r="AH7" s="287">
        <f t="shared" si="2"/>
        <v>484000000</v>
      </c>
      <c r="AI7" s="287">
        <f t="shared" si="2"/>
        <v>44000000</v>
      </c>
      <c r="AJ7" s="287">
        <f t="shared" si="2"/>
        <v>0</v>
      </c>
      <c r="AK7" s="287">
        <f t="shared" si="2"/>
        <v>308000000</v>
      </c>
      <c r="AL7" s="287">
        <f t="shared" si="2"/>
        <v>0</v>
      </c>
      <c r="AM7" s="287">
        <f t="shared" si="2"/>
        <v>220000000</v>
      </c>
      <c r="AN7" s="287">
        <f t="shared" si="2"/>
        <v>44000000</v>
      </c>
      <c r="AO7" s="278">
        <f>SUM(X7:AN7)</f>
        <v>3894500000</v>
      </c>
    </row>
    <row r="8" spans="1:42" s="301" customFormat="1" ht="14.25">
      <c r="A8" s="288" t="s">
        <v>106</v>
      </c>
      <c r="B8" s="289" t="s">
        <v>551</v>
      </c>
      <c r="C8" s="290">
        <f>+D8+I8</f>
        <v>3780000000</v>
      </c>
      <c r="D8" s="239">
        <f t="shared" si="1"/>
        <v>490000000</v>
      </c>
      <c r="E8" s="239"/>
      <c r="F8" s="239">
        <v>490000000</v>
      </c>
      <c r="G8" s="239"/>
      <c r="H8" s="239"/>
      <c r="I8" s="239">
        <f>SUM(J8:M8)-N8</f>
        <v>3290000000</v>
      </c>
      <c r="J8" s="291"/>
      <c r="K8" s="291">
        <v>3290000000</v>
      </c>
      <c r="L8" s="291"/>
      <c r="M8" s="291"/>
      <c r="N8" s="292"/>
      <c r="O8" s="290">
        <f>SUM(P8:Q8)</f>
        <v>0</v>
      </c>
      <c r="P8" s="293"/>
      <c r="Q8" s="293"/>
      <c r="R8" s="294"/>
      <c r="S8" s="290">
        <f>+C8-O8-R8</f>
        <v>3780000000</v>
      </c>
      <c r="T8" s="294">
        <v>170000000</v>
      </c>
      <c r="U8" s="294"/>
      <c r="V8" s="241">
        <f>+S8</f>
        <v>3780000000</v>
      </c>
      <c r="W8" s="242"/>
      <c r="X8" s="295">
        <v>160000000</v>
      </c>
      <c r="Y8" s="296">
        <v>160000000</v>
      </c>
      <c r="Z8" s="295">
        <v>320000000</v>
      </c>
      <c r="AA8" s="295">
        <v>80000000</v>
      </c>
      <c r="AB8" s="297">
        <v>720000000</v>
      </c>
      <c r="AC8" s="298">
        <v>80000000</v>
      </c>
      <c r="AD8" s="298">
        <v>240000000</v>
      </c>
      <c r="AE8" s="298">
        <v>160000000</v>
      </c>
      <c r="AF8" s="298">
        <v>582500000</v>
      </c>
      <c r="AG8" s="298">
        <v>40000000</v>
      </c>
      <c r="AH8" s="298">
        <v>440000000</v>
      </c>
      <c r="AI8" s="298">
        <v>40000000</v>
      </c>
      <c r="AJ8" s="298"/>
      <c r="AK8" s="298">
        <v>280000000</v>
      </c>
      <c r="AL8" s="298"/>
      <c r="AM8" s="299">
        <v>200000000</v>
      </c>
      <c r="AN8" s="299">
        <v>40000000</v>
      </c>
      <c r="AO8" s="300">
        <f t="shared" ref="AO8:AO18" si="3">SUM(X8:AN8)</f>
        <v>3542500000</v>
      </c>
    </row>
    <row r="9" spans="1:42" s="218" customFormat="1" ht="14.25">
      <c r="A9" s="227" t="s">
        <v>106</v>
      </c>
      <c r="B9" s="232" t="s">
        <v>560</v>
      </c>
      <c r="C9" s="229">
        <f>+D9+I9</f>
        <v>356000000</v>
      </c>
      <c r="D9" s="230">
        <f t="shared" si="1"/>
        <v>40000000</v>
      </c>
      <c r="E9" s="230"/>
      <c r="F9" s="230">
        <v>40000000</v>
      </c>
      <c r="G9" s="230"/>
      <c r="H9" s="230"/>
      <c r="I9" s="230">
        <f>SUM(J9:M9)-N9</f>
        <v>316000000</v>
      </c>
      <c r="J9" s="233"/>
      <c r="K9" s="233">
        <v>284000000</v>
      </c>
      <c r="L9" s="233">
        <v>32000000</v>
      </c>
      <c r="M9" s="233"/>
      <c r="N9" s="234"/>
      <c r="O9" s="229">
        <f>SUM(P9:Q9)</f>
        <v>0</v>
      </c>
      <c r="P9" s="235"/>
      <c r="Q9" s="236"/>
      <c r="R9" s="236"/>
      <c r="S9" s="229">
        <f>+C9-O9-R9</f>
        <v>356000000</v>
      </c>
      <c r="T9" s="236">
        <v>4000000</v>
      </c>
      <c r="U9" s="236"/>
      <c r="V9" s="237">
        <f>+S9</f>
        <v>356000000</v>
      </c>
      <c r="W9" s="238"/>
      <c r="X9" s="231">
        <v>16000000</v>
      </c>
      <c r="Y9" s="231">
        <v>16000000</v>
      </c>
      <c r="Z9" s="231">
        <v>32000000</v>
      </c>
      <c r="AA9" s="224">
        <v>8000000</v>
      </c>
      <c r="AB9" s="287">
        <v>72000000</v>
      </c>
      <c r="AC9" s="287">
        <v>8000000</v>
      </c>
      <c r="AD9" s="287">
        <v>24000000</v>
      </c>
      <c r="AE9" s="287">
        <v>16000000</v>
      </c>
      <c r="AF9" s="287">
        <v>56000000</v>
      </c>
      <c r="AG9" s="287">
        <v>4000000</v>
      </c>
      <c r="AH9" s="287">
        <v>44000000</v>
      </c>
      <c r="AI9" s="287">
        <v>4000000</v>
      </c>
      <c r="AJ9" s="287"/>
      <c r="AK9" s="287">
        <v>28000000</v>
      </c>
      <c r="AL9" s="287"/>
      <c r="AM9" s="302">
        <v>20000000</v>
      </c>
      <c r="AN9" s="302">
        <v>4000000</v>
      </c>
      <c r="AO9" s="278">
        <f t="shared" si="3"/>
        <v>352000000</v>
      </c>
    </row>
    <row r="10" spans="1:42" s="218" customFormat="1" ht="33.75">
      <c r="A10" s="227" t="s">
        <v>60</v>
      </c>
      <c r="B10" s="228" t="s">
        <v>559</v>
      </c>
      <c r="C10" s="229">
        <f t="shared" ref="C10:J10" si="4">SUM(C11:C12)</f>
        <v>41934237599</v>
      </c>
      <c r="D10" s="230">
        <f t="shared" si="4"/>
        <v>4417237599</v>
      </c>
      <c r="E10" s="230">
        <f t="shared" si="4"/>
        <v>511199700</v>
      </c>
      <c r="F10" s="230">
        <f t="shared" si="4"/>
        <v>3900831855</v>
      </c>
      <c r="G10" s="230">
        <f t="shared" si="4"/>
        <v>5035900</v>
      </c>
      <c r="H10" s="230">
        <f t="shared" si="4"/>
        <v>170144</v>
      </c>
      <c r="I10" s="230">
        <f t="shared" si="4"/>
        <v>37517000000</v>
      </c>
      <c r="J10" s="230">
        <f t="shared" si="4"/>
        <v>0</v>
      </c>
      <c r="K10" s="230">
        <f>SUM(K11:K12)</f>
        <v>37517000000</v>
      </c>
      <c r="L10" s="230">
        <f t="shared" ref="L10:W10" si="5">SUM(L11:L12)</f>
        <v>0</v>
      </c>
      <c r="M10" s="230">
        <f t="shared" si="5"/>
        <v>0</v>
      </c>
      <c r="N10" s="230">
        <f t="shared" si="5"/>
        <v>0</v>
      </c>
      <c r="O10" s="229">
        <f t="shared" si="5"/>
        <v>40584097181</v>
      </c>
      <c r="P10" s="229">
        <f t="shared" si="5"/>
        <v>8418719100</v>
      </c>
      <c r="Q10" s="229">
        <f t="shared" si="5"/>
        <v>32165378081</v>
      </c>
      <c r="R10" s="229">
        <f t="shared" si="5"/>
        <v>5206044</v>
      </c>
      <c r="S10" s="229">
        <f t="shared" si="5"/>
        <v>1344934374</v>
      </c>
      <c r="T10" s="229">
        <f t="shared" si="5"/>
        <v>0</v>
      </c>
      <c r="U10" s="229">
        <f t="shared" si="5"/>
        <v>111938240</v>
      </c>
      <c r="V10" s="229">
        <f t="shared" si="5"/>
        <v>222959299</v>
      </c>
      <c r="W10" s="229">
        <f t="shared" si="5"/>
        <v>982141688</v>
      </c>
      <c r="X10" s="231">
        <f>SUM(X11:X12)</f>
        <v>364350000</v>
      </c>
      <c r="Y10" s="231">
        <f t="shared" ref="Y10:AN10" si="6">SUM(Y11:Y12)</f>
        <v>2698646114</v>
      </c>
      <c r="Z10" s="231">
        <f t="shared" si="6"/>
        <v>2656360000</v>
      </c>
      <c r="AA10" s="224">
        <f t="shared" si="6"/>
        <v>807140000</v>
      </c>
      <c r="AB10" s="287">
        <f t="shared" si="6"/>
        <v>857817000</v>
      </c>
      <c r="AC10" s="287">
        <f t="shared" si="6"/>
        <v>1996102018</v>
      </c>
      <c r="AD10" s="287">
        <f t="shared" si="6"/>
        <v>2686590000</v>
      </c>
      <c r="AE10" s="287">
        <f t="shared" si="6"/>
        <v>1646835479</v>
      </c>
      <c r="AF10" s="287">
        <f t="shared" si="6"/>
        <v>2617770372</v>
      </c>
      <c r="AG10" s="287">
        <f t="shared" si="6"/>
        <v>754444653</v>
      </c>
      <c r="AH10" s="287">
        <f t="shared" si="6"/>
        <v>2379660000</v>
      </c>
      <c r="AI10" s="287">
        <f t="shared" si="6"/>
        <v>2927793822</v>
      </c>
      <c r="AJ10" s="287">
        <f t="shared" si="6"/>
        <v>3064928320</v>
      </c>
      <c r="AK10" s="287">
        <f t="shared" si="6"/>
        <v>2849087000</v>
      </c>
      <c r="AL10" s="287">
        <f t="shared" si="6"/>
        <v>1571770000</v>
      </c>
      <c r="AM10" s="302">
        <f t="shared" si="6"/>
        <v>3100620637</v>
      </c>
      <c r="AN10" s="302">
        <f t="shared" si="6"/>
        <v>400200000</v>
      </c>
      <c r="AO10" s="278">
        <f t="shared" si="3"/>
        <v>33380115415</v>
      </c>
    </row>
    <row r="11" spans="1:42" s="317" customFormat="1" ht="14.25">
      <c r="A11" s="303" t="s">
        <v>106</v>
      </c>
      <c r="B11" s="304" t="s">
        <v>551</v>
      </c>
      <c r="C11" s="305">
        <f t="shared" ref="C11:C18" si="7">+D11+I11</f>
        <v>39994141555</v>
      </c>
      <c r="D11" s="306">
        <f t="shared" si="1"/>
        <v>4399141555</v>
      </c>
      <c r="E11" s="306">
        <v>498309700</v>
      </c>
      <c r="F11" s="306">
        <f>4639864513-F14</f>
        <v>3900831855</v>
      </c>
      <c r="G11" s="306">
        <v>0</v>
      </c>
      <c r="H11" s="306"/>
      <c r="I11" s="306">
        <f>SUM(J11:M11)-N11</f>
        <v>35595000000</v>
      </c>
      <c r="J11" s="307"/>
      <c r="K11" s="307">
        <v>35595000000</v>
      </c>
      <c r="L11" s="307"/>
      <c r="M11" s="307"/>
      <c r="N11" s="308"/>
      <c r="O11" s="305">
        <f>SUM(P11:Q11)</f>
        <v>38661621083</v>
      </c>
      <c r="P11" s="309">
        <f>475200000+4850900+7525685900</f>
        <v>8005736800</v>
      </c>
      <c r="Q11" s="309">
        <f>27497884283+3158000000</f>
        <v>30655884283</v>
      </c>
      <c r="R11" s="310"/>
      <c r="S11" s="305">
        <f>+C11-O11-R11</f>
        <v>1332520472</v>
      </c>
      <c r="T11" s="310"/>
      <c r="U11" s="310">
        <v>108774440</v>
      </c>
      <c r="V11" s="311">
        <f>82896300+140062999</f>
        <v>222959299</v>
      </c>
      <c r="W11" s="312">
        <f>379759077+602382611</f>
        <v>982141688</v>
      </c>
      <c r="X11" s="295">
        <f>345680000</f>
        <v>345680000</v>
      </c>
      <c r="Y11" s="295">
        <f>251246114+2322000000</f>
        <v>2573246114</v>
      </c>
      <c r="Z11" s="313">
        <f>211370000+2319750000</f>
        <v>2531120000</v>
      </c>
      <c r="AA11" s="295">
        <f>71540000+695190000</f>
        <v>766730000</v>
      </c>
      <c r="AB11" s="314">
        <f>165717000+649400000</f>
        <v>815117000</v>
      </c>
      <c r="AC11" s="314">
        <f>389818458+1532039660</f>
        <v>1921858118</v>
      </c>
      <c r="AD11" s="314">
        <v>2548950000</v>
      </c>
      <c r="AE11" s="314">
        <f>13975479+1547500000</f>
        <v>1561475479</v>
      </c>
      <c r="AF11" s="314">
        <f>162420372+2329560000</f>
        <v>2491980372</v>
      </c>
      <c r="AG11" s="314">
        <f>242994653+485300000</f>
        <v>728294653</v>
      </c>
      <c r="AH11" s="314">
        <f>193660000+2074000000</f>
        <v>2267660000</v>
      </c>
      <c r="AI11" s="314">
        <f>480543822+2321900000</f>
        <v>2802443822</v>
      </c>
      <c r="AJ11" s="314">
        <f>377058320+2550160000</f>
        <v>2927218320</v>
      </c>
      <c r="AK11" s="314">
        <f>399207000+2324380000</f>
        <v>2723587000</v>
      </c>
      <c r="AL11" s="314">
        <f>490960000+1020510000</f>
        <v>1511470000</v>
      </c>
      <c r="AM11" s="315">
        <f>414480637+2548540000</f>
        <v>2963020637</v>
      </c>
      <c r="AN11" s="315">
        <f>35840000+345680000</f>
        <v>381520000</v>
      </c>
      <c r="AO11" s="316">
        <f>SUM(X11:AN11)</f>
        <v>31861371515</v>
      </c>
    </row>
    <row r="12" spans="1:42" s="218" customFormat="1" ht="14.25">
      <c r="A12" s="227" t="s">
        <v>106</v>
      </c>
      <c r="B12" s="232" t="s">
        <v>560</v>
      </c>
      <c r="C12" s="229">
        <f t="shared" si="7"/>
        <v>1940096044</v>
      </c>
      <c r="D12" s="230">
        <f t="shared" si="1"/>
        <v>18096044</v>
      </c>
      <c r="E12" s="230">
        <v>12890000</v>
      </c>
      <c r="F12" s="230"/>
      <c r="G12" s="230">
        <v>5035900</v>
      </c>
      <c r="H12" s="230">
        <v>170144</v>
      </c>
      <c r="I12" s="230">
        <f>SUM(J12:M12)-N12</f>
        <v>1922000000</v>
      </c>
      <c r="J12" s="233"/>
      <c r="K12" s="233">
        <v>1922000000</v>
      </c>
      <c r="L12" s="233"/>
      <c r="M12" s="233"/>
      <c r="N12" s="234"/>
      <c r="O12" s="229">
        <f>SUM(P12:Q12)</f>
        <v>1922476098</v>
      </c>
      <c r="P12" s="229">
        <f>402353100+10629200</f>
        <v>412982300</v>
      </c>
      <c r="Q12" s="243">
        <v>1509493798</v>
      </c>
      <c r="R12" s="244">
        <f>+G12+H12</f>
        <v>5206044</v>
      </c>
      <c r="S12" s="229">
        <f>+C12-O12-R12</f>
        <v>12413902</v>
      </c>
      <c r="T12" s="236"/>
      <c r="U12" s="236">
        <f>903000+2260800</f>
        <v>3163800</v>
      </c>
      <c r="V12" s="237"/>
      <c r="W12" s="238"/>
      <c r="X12" s="231">
        <v>18670000</v>
      </c>
      <c r="Y12" s="231">
        <v>125400000</v>
      </c>
      <c r="Z12" s="231">
        <v>125240000</v>
      </c>
      <c r="AA12" s="224">
        <v>40410000</v>
      </c>
      <c r="AB12" s="287">
        <v>42700000</v>
      </c>
      <c r="AC12" s="287">
        <v>74243900</v>
      </c>
      <c r="AD12" s="287">
        <v>137640000</v>
      </c>
      <c r="AE12" s="287">
        <v>85360000</v>
      </c>
      <c r="AF12" s="287">
        <v>125790000</v>
      </c>
      <c r="AG12" s="287">
        <v>26150000</v>
      </c>
      <c r="AH12" s="287">
        <v>112000000</v>
      </c>
      <c r="AI12" s="287">
        <v>125350000</v>
      </c>
      <c r="AJ12" s="287">
        <v>137710000</v>
      </c>
      <c r="AK12" s="287">
        <v>125500000</v>
      </c>
      <c r="AL12" s="287">
        <v>60300000</v>
      </c>
      <c r="AM12" s="302">
        <v>137600000</v>
      </c>
      <c r="AN12" s="302">
        <v>18680000</v>
      </c>
      <c r="AO12" s="278">
        <f t="shared" si="3"/>
        <v>1518743900</v>
      </c>
      <c r="AP12" s="354">
        <f>+AO12-AO25</f>
        <v>9250102</v>
      </c>
    </row>
    <row r="13" spans="1:42" s="154" customFormat="1" ht="33">
      <c r="A13" s="227" t="s">
        <v>60</v>
      </c>
      <c r="B13" s="232" t="s">
        <v>625</v>
      </c>
      <c r="C13" s="229">
        <f>SUM(C14:C15)</f>
        <v>739032658</v>
      </c>
      <c r="D13" s="230">
        <f t="shared" ref="D13:W13" si="8">SUM(D14:D15)</f>
        <v>739032658</v>
      </c>
      <c r="E13" s="230">
        <f t="shared" si="8"/>
        <v>0</v>
      </c>
      <c r="F13" s="230">
        <f t="shared" si="8"/>
        <v>739032658</v>
      </c>
      <c r="G13" s="230">
        <f t="shared" si="8"/>
        <v>0</v>
      </c>
      <c r="H13" s="230">
        <f t="shared" si="8"/>
        <v>0</v>
      </c>
      <c r="I13" s="230">
        <f t="shared" si="8"/>
        <v>0</v>
      </c>
      <c r="J13" s="230">
        <f t="shared" si="8"/>
        <v>0</v>
      </c>
      <c r="K13" s="230">
        <f t="shared" si="8"/>
        <v>0</v>
      </c>
      <c r="L13" s="230">
        <f t="shared" si="8"/>
        <v>0</v>
      </c>
      <c r="M13" s="230">
        <f t="shared" si="8"/>
        <v>0</v>
      </c>
      <c r="N13" s="230">
        <f t="shared" si="8"/>
        <v>0</v>
      </c>
      <c r="O13" s="229">
        <f t="shared" si="8"/>
        <v>646843888</v>
      </c>
      <c r="P13" s="229">
        <f t="shared" si="8"/>
        <v>0</v>
      </c>
      <c r="Q13" s="229">
        <f t="shared" si="8"/>
        <v>646843888</v>
      </c>
      <c r="R13" s="229">
        <f t="shared" si="8"/>
        <v>0</v>
      </c>
      <c r="S13" s="229">
        <f t="shared" si="8"/>
        <v>92188770</v>
      </c>
      <c r="T13" s="229">
        <f t="shared" si="8"/>
        <v>0</v>
      </c>
      <c r="U13" s="229">
        <f t="shared" si="8"/>
        <v>0</v>
      </c>
      <c r="V13" s="229">
        <f t="shared" si="8"/>
        <v>49428070</v>
      </c>
      <c r="W13" s="229">
        <f t="shared" si="8"/>
        <v>42760700</v>
      </c>
      <c r="X13" s="231">
        <f>SUM(X14:X15)</f>
        <v>0</v>
      </c>
      <c r="Y13" s="231">
        <f t="shared" ref="Y13:AL13" si="9">SUM(Y14:Y15)</f>
        <v>515672529</v>
      </c>
      <c r="Z13" s="231">
        <f t="shared" si="9"/>
        <v>0</v>
      </c>
      <c r="AA13" s="224">
        <f t="shared" si="9"/>
        <v>0</v>
      </c>
      <c r="AB13" s="287">
        <f t="shared" si="9"/>
        <v>0</v>
      </c>
      <c r="AC13" s="287">
        <f t="shared" si="9"/>
        <v>0</v>
      </c>
      <c r="AD13" s="287">
        <f t="shared" si="9"/>
        <v>0</v>
      </c>
      <c r="AE13" s="287">
        <f t="shared" si="9"/>
        <v>0</v>
      </c>
      <c r="AF13" s="287">
        <f t="shared" si="9"/>
        <v>223360129</v>
      </c>
      <c r="AG13" s="287">
        <f t="shared" si="9"/>
        <v>0</v>
      </c>
      <c r="AH13" s="287">
        <f t="shared" si="9"/>
        <v>0</v>
      </c>
      <c r="AI13" s="287">
        <f t="shared" si="9"/>
        <v>0</v>
      </c>
      <c r="AJ13" s="287">
        <f t="shared" si="9"/>
        <v>0</v>
      </c>
      <c r="AK13" s="287">
        <f t="shared" si="9"/>
        <v>0</v>
      </c>
      <c r="AL13" s="287">
        <f t="shared" si="9"/>
        <v>0</v>
      </c>
      <c r="AM13" s="318"/>
      <c r="AN13" s="318"/>
      <c r="AO13" s="278">
        <f t="shared" si="3"/>
        <v>739032658</v>
      </c>
      <c r="AP13" s="219">
        <f>+AP12-AO11</f>
        <v>-31852121413</v>
      </c>
    </row>
    <row r="14" spans="1:42" s="317" customFormat="1" ht="14.25">
      <c r="A14" s="303" t="s">
        <v>106</v>
      </c>
      <c r="B14" s="304" t="s">
        <v>551</v>
      </c>
      <c r="C14" s="305">
        <f t="shared" si="7"/>
        <v>739032658</v>
      </c>
      <c r="D14" s="306">
        <f t="shared" si="1"/>
        <v>739032658</v>
      </c>
      <c r="E14" s="306"/>
      <c r="F14" s="306">
        <v>739032658</v>
      </c>
      <c r="G14" s="306"/>
      <c r="H14" s="306"/>
      <c r="I14" s="306">
        <f>SUM(J14:M14)-N14</f>
        <v>0</v>
      </c>
      <c r="J14" s="307"/>
      <c r="K14" s="307"/>
      <c r="L14" s="307"/>
      <c r="M14" s="307"/>
      <c r="N14" s="308"/>
      <c r="O14" s="305">
        <f>SUM(P14:Q14)</f>
        <v>646843888</v>
      </c>
      <c r="P14" s="319"/>
      <c r="Q14" s="319">
        <v>646843888</v>
      </c>
      <c r="R14" s="310"/>
      <c r="S14" s="305">
        <f>+C14-O14-R14</f>
        <v>92188770</v>
      </c>
      <c r="T14" s="310"/>
      <c r="U14" s="310"/>
      <c r="V14" s="311">
        <v>49428070</v>
      </c>
      <c r="W14" s="312">
        <v>42760700</v>
      </c>
      <c r="X14" s="313"/>
      <c r="Y14" s="313">
        <v>515672529</v>
      </c>
      <c r="Z14" s="313"/>
      <c r="AA14" s="313"/>
      <c r="AB14" s="314"/>
      <c r="AC14" s="314"/>
      <c r="AD14" s="314"/>
      <c r="AE14" s="314"/>
      <c r="AF14" s="314">
        <v>223360129</v>
      </c>
      <c r="AG14" s="314"/>
      <c r="AH14" s="314"/>
      <c r="AI14" s="314"/>
      <c r="AJ14" s="314"/>
      <c r="AK14" s="314"/>
      <c r="AL14" s="314"/>
      <c r="AM14" s="315"/>
      <c r="AN14" s="315"/>
      <c r="AO14" s="316">
        <f t="shared" si="3"/>
        <v>739032658</v>
      </c>
    </row>
    <row r="15" spans="1:42" s="154" customFormat="1" ht="18.75" customHeight="1">
      <c r="A15" s="227" t="s">
        <v>106</v>
      </c>
      <c r="B15" s="232" t="s">
        <v>560</v>
      </c>
      <c r="C15" s="229">
        <f t="shared" si="7"/>
        <v>0</v>
      </c>
      <c r="D15" s="230">
        <f t="shared" si="1"/>
        <v>0</v>
      </c>
      <c r="E15" s="230"/>
      <c r="F15" s="230"/>
      <c r="G15" s="230"/>
      <c r="H15" s="230"/>
      <c r="I15" s="230">
        <f>SUM(J15:M15)-N15</f>
        <v>0</v>
      </c>
      <c r="J15" s="233"/>
      <c r="K15" s="233"/>
      <c r="L15" s="233"/>
      <c r="M15" s="233"/>
      <c r="N15" s="234"/>
      <c r="O15" s="229">
        <f>SUM(P15:Q15)</f>
        <v>0</v>
      </c>
      <c r="P15" s="235"/>
      <c r="Q15" s="236"/>
      <c r="R15" s="236"/>
      <c r="S15" s="229">
        <f>+C15-O15-R15</f>
        <v>0</v>
      </c>
      <c r="T15" s="236">
        <f>+C15-O15</f>
        <v>0</v>
      </c>
      <c r="U15" s="236"/>
      <c r="V15" s="237"/>
      <c r="W15" s="238"/>
      <c r="X15" s="231"/>
      <c r="Y15" s="231"/>
      <c r="Z15" s="231"/>
      <c r="AA15" s="225"/>
      <c r="AB15" s="320"/>
      <c r="AC15" s="320"/>
      <c r="AD15" s="320"/>
      <c r="AE15" s="320"/>
      <c r="AF15" s="320"/>
      <c r="AG15" s="320"/>
      <c r="AH15" s="320"/>
      <c r="AI15" s="320"/>
      <c r="AJ15" s="320"/>
      <c r="AK15" s="320"/>
      <c r="AL15" s="320"/>
      <c r="AM15" s="318"/>
      <c r="AN15" s="318"/>
      <c r="AO15" s="278">
        <f t="shared" si="3"/>
        <v>0</v>
      </c>
    </row>
    <row r="16" spans="1:42" s="154" customFormat="1" ht="22.5" customHeight="1">
      <c r="A16" s="227" t="s">
        <v>60</v>
      </c>
      <c r="B16" s="246" t="s">
        <v>633</v>
      </c>
      <c r="C16" s="229">
        <f t="shared" si="7"/>
        <v>2772000000</v>
      </c>
      <c r="D16" s="230">
        <f>SUM(E16:H16)</f>
        <v>1000000000</v>
      </c>
      <c r="E16" s="230">
        <v>1000000000</v>
      </c>
      <c r="F16" s="230">
        <v>0</v>
      </c>
      <c r="G16" s="230">
        <v>0</v>
      </c>
      <c r="H16" s="230">
        <v>0</v>
      </c>
      <c r="I16" s="230">
        <f>SUM(J16:M16)-N16</f>
        <v>1772000000</v>
      </c>
      <c r="J16" s="230">
        <f>SUM(J17:J18)</f>
        <v>0</v>
      </c>
      <c r="K16" s="230">
        <f>SUM(K17:K18)</f>
        <v>1772000000</v>
      </c>
      <c r="L16" s="230">
        <f>SUM(L17:L18)</f>
        <v>0</v>
      </c>
      <c r="M16" s="230">
        <f>SUM(M17:M18)</f>
        <v>0</v>
      </c>
      <c r="N16" s="230">
        <f>SUM(N17:N18)</f>
        <v>0</v>
      </c>
      <c r="O16" s="229">
        <f>SUM(P16:Q16)</f>
        <v>1855758500</v>
      </c>
      <c r="P16" s="229">
        <f>SUM(P17:P18)</f>
        <v>1855758500</v>
      </c>
      <c r="Q16" s="229">
        <f>SUM(Q17:Q18)</f>
        <v>0</v>
      </c>
      <c r="R16" s="229">
        <f>SUM(R17:R18)</f>
        <v>0</v>
      </c>
      <c r="S16" s="229">
        <f>+C16-O16-R16</f>
        <v>916241500</v>
      </c>
      <c r="T16" s="229">
        <f>SUM(T17:T18)</f>
        <v>916241500</v>
      </c>
      <c r="U16" s="229">
        <f>SUM(U17:U18)</f>
        <v>0</v>
      </c>
      <c r="V16" s="229">
        <f>SUM(V17:V18)</f>
        <v>0</v>
      </c>
      <c r="W16" s="229">
        <f>SUM(W17:W18)</f>
        <v>0</v>
      </c>
      <c r="X16" s="231">
        <f>SUM(X17:X18)</f>
        <v>0</v>
      </c>
      <c r="Y16" s="231">
        <f t="shared" ref="Y16:AL16" si="10">SUM(Y17:Y18)</f>
        <v>0</v>
      </c>
      <c r="Z16" s="231">
        <f t="shared" si="10"/>
        <v>0</v>
      </c>
      <c r="AA16" s="224">
        <f t="shared" si="10"/>
        <v>0</v>
      </c>
      <c r="AB16" s="287">
        <f t="shared" si="10"/>
        <v>0</v>
      </c>
      <c r="AC16" s="287">
        <f t="shared" si="10"/>
        <v>0</v>
      </c>
      <c r="AD16" s="287">
        <f t="shared" si="10"/>
        <v>0</v>
      </c>
      <c r="AE16" s="287">
        <f t="shared" si="10"/>
        <v>0</v>
      </c>
      <c r="AF16" s="287">
        <f t="shared" si="10"/>
        <v>0</v>
      </c>
      <c r="AG16" s="287">
        <f t="shared" si="10"/>
        <v>0</v>
      </c>
      <c r="AH16" s="287">
        <f t="shared" si="10"/>
        <v>0</v>
      </c>
      <c r="AI16" s="287">
        <f t="shared" si="10"/>
        <v>0</v>
      </c>
      <c r="AJ16" s="287">
        <f t="shared" si="10"/>
        <v>0</v>
      </c>
      <c r="AK16" s="287">
        <f t="shared" si="10"/>
        <v>0</v>
      </c>
      <c r="AL16" s="287">
        <f t="shared" si="10"/>
        <v>0</v>
      </c>
      <c r="AM16" s="318"/>
      <c r="AN16" s="318"/>
      <c r="AO16" s="278">
        <f t="shared" si="3"/>
        <v>0</v>
      </c>
    </row>
    <row r="17" spans="1:42" s="317" customFormat="1" ht="15.75" customHeight="1">
      <c r="A17" s="303" t="s">
        <v>106</v>
      </c>
      <c r="B17" s="304" t="s">
        <v>551</v>
      </c>
      <c r="C17" s="305">
        <f t="shared" si="7"/>
        <v>2633000000</v>
      </c>
      <c r="D17" s="306">
        <f>SUM(E17:H17)</f>
        <v>952000000</v>
      </c>
      <c r="E17" s="306">
        <v>952000000</v>
      </c>
      <c r="F17" s="306"/>
      <c r="G17" s="306"/>
      <c r="H17" s="306"/>
      <c r="I17" s="306">
        <f>SUM(J17:M17)-N17</f>
        <v>1681000000</v>
      </c>
      <c r="J17" s="307"/>
      <c r="K17" s="307">
        <v>1681000000</v>
      </c>
      <c r="L17" s="307"/>
      <c r="M17" s="307"/>
      <c r="N17" s="308"/>
      <c r="O17" s="305">
        <f>SUM(P17:Q17)</f>
        <v>1763758500</v>
      </c>
      <c r="P17" s="319">
        <f>+C17-T17</f>
        <v>1763758500</v>
      </c>
      <c r="Q17" s="319"/>
      <c r="R17" s="310"/>
      <c r="S17" s="305">
        <f>+C17-O17-R17</f>
        <v>869241500</v>
      </c>
      <c r="T17" s="305">
        <v>869241500</v>
      </c>
      <c r="U17" s="310"/>
      <c r="V17" s="311"/>
      <c r="W17" s="312"/>
      <c r="X17" s="313"/>
      <c r="Y17" s="313"/>
      <c r="Z17" s="313"/>
      <c r="AA17" s="313"/>
      <c r="AB17" s="314"/>
      <c r="AC17" s="314"/>
      <c r="AD17" s="314"/>
      <c r="AE17" s="314"/>
      <c r="AF17" s="314"/>
      <c r="AG17" s="314"/>
      <c r="AH17" s="314"/>
      <c r="AI17" s="314"/>
      <c r="AJ17" s="314"/>
      <c r="AK17" s="314"/>
      <c r="AL17" s="314"/>
      <c r="AM17" s="315"/>
      <c r="AN17" s="315"/>
      <c r="AO17" s="316">
        <f t="shared" si="3"/>
        <v>0</v>
      </c>
    </row>
    <row r="18" spans="1:42" s="154" customFormat="1" ht="15.75" customHeight="1">
      <c r="A18" s="227" t="s">
        <v>106</v>
      </c>
      <c r="B18" s="232" t="s">
        <v>560</v>
      </c>
      <c r="C18" s="229">
        <f t="shared" si="7"/>
        <v>139000000</v>
      </c>
      <c r="D18" s="230">
        <f>SUM(E18:H18)</f>
        <v>48000000</v>
      </c>
      <c r="E18" s="230">
        <v>48000000</v>
      </c>
      <c r="F18" s="230"/>
      <c r="G18" s="230"/>
      <c r="H18" s="230"/>
      <c r="I18" s="230">
        <f>SUM(J18:M18)-N18</f>
        <v>91000000</v>
      </c>
      <c r="J18" s="233"/>
      <c r="K18" s="233">
        <v>91000000</v>
      </c>
      <c r="L18" s="233"/>
      <c r="M18" s="233"/>
      <c r="N18" s="234"/>
      <c r="O18" s="229">
        <f>SUM(P18:Q18)</f>
        <v>92000000</v>
      </c>
      <c r="P18" s="235">
        <f>+C18-T18</f>
        <v>92000000</v>
      </c>
      <c r="Q18" s="236"/>
      <c r="R18" s="236"/>
      <c r="S18" s="229">
        <f>+C18-O18-R18</f>
        <v>47000000</v>
      </c>
      <c r="T18" s="229">
        <v>47000000</v>
      </c>
      <c r="U18" s="236"/>
      <c r="V18" s="237"/>
      <c r="W18" s="238"/>
      <c r="X18" s="231"/>
      <c r="Y18" s="231"/>
      <c r="Z18" s="231"/>
      <c r="AA18" s="225"/>
      <c r="AB18" s="320"/>
      <c r="AC18" s="320"/>
      <c r="AD18" s="320"/>
      <c r="AE18" s="320"/>
      <c r="AF18" s="320"/>
      <c r="AG18" s="320"/>
      <c r="AH18" s="320"/>
      <c r="AI18" s="320"/>
      <c r="AJ18" s="320"/>
      <c r="AK18" s="320"/>
      <c r="AL18" s="320"/>
      <c r="AM18" s="318"/>
      <c r="AN18" s="318"/>
      <c r="AO18" s="278">
        <f t="shared" si="3"/>
        <v>0</v>
      </c>
    </row>
    <row r="19" spans="1:42" s="21" customFormat="1" ht="15.75" customHeight="1">
      <c r="A19" s="249"/>
      <c r="B19" s="249" t="s">
        <v>136</v>
      </c>
      <c r="C19" s="249"/>
      <c r="D19" s="249"/>
      <c r="E19" s="249"/>
      <c r="F19" s="249"/>
      <c r="G19" s="249"/>
      <c r="H19" s="249"/>
      <c r="I19" s="249"/>
      <c r="J19" s="249"/>
      <c r="K19" s="249"/>
      <c r="L19" s="249"/>
      <c r="M19" s="249"/>
      <c r="N19" s="249"/>
      <c r="O19" s="249"/>
      <c r="P19" s="249"/>
      <c r="Q19" s="249"/>
      <c r="R19" s="249"/>
      <c r="S19" s="249"/>
      <c r="T19" s="249"/>
      <c r="U19" s="249"/>
      <c r="V19" s="249"/>
      <c r="W19" s="249"/>
      <c r="X19" s="250">
        <f>+X20+X23+X26+X29</f>
        <v>540188400</v>
      </c>
      <c r="Y19" s="250">
        <f t="shared" ref="Y19:AN19" si="11">+Y20+Y23+Y26+Y29</f>
        <v>3276574281</v>
      </c>
      <c r="Z19" s="250">
        <f t="shared" si="11"/>
        <v>2977219300</v>
      </c>
      <c r="AA19" s="251">
        <f t="shared" si="11"/>
        <v>889469124</v>
      </c>
      <c r="AB19" s="286">
        <f t="shared" si="11"/>
        <v>1473735400</v>
      </c>
      <c r="AC19" s="286">
        <f t="shared" si="11"/>
        <v>1995802718</v>
      </c>
      <c r="AD19" s="286">
        <f t="shared" si="11"/>
        <v>2928660100</v>
      </c>
      <c r="AE19" s="286">
        <f t="shared" si="11"/>
        <v>1779322800</v>
      </c>
      <c r="AF19" s="286">
        <f t="shared" si="11"/>
        <v>3075776132</v>
      </c>
      <c r="AG19" s="286">
        <f t="shared" si="11"/>
        <v>757588897</v>
      </c>
      <c r="AH19" s="286">
        <f t="shared" si="11"/>
        <v>2730154900</v>
      </c>
      <c r="AI19" s="286">
        <f t="shared" si="11"/>
        <v>2614466222</v>
      </c>
      <c r="AJ19" s="286">
        <f t="shared" si="11"/>
        <v>3043886720</v>
      </c>
      <c r="AK19" s="286">
        <f t="shared" si="11"/>
        <v>2911495200</v>
      </c>
      <c r="AL19" s="286">
        <f t="shared" si="11"/>
        <v>1560037383</v>
      </c>
      <c r="AM19" s="286">
        <f t="shared" si="11"/>
        <v>3302377537</v>
      </c>
      <c r="AN19" s="286">
        <f t="shared" si="11"/>
        <v>431853100</v>
      </c>
      <c r="AO19" s="278">
        <f>SUM(X19:AN19)</f>
        <v>36288608214</v>
      </c>
      <c r="AP19" s="278">
        <f>+AO6-AO19</f>
        <v>1725039859</v>
      </c>
    </row>
    <row r="20" spans="1:42" s="218" customFormat="1" ht="33" customHeight="1">
      <c r="A20" s="227" t="s">
        <v>60</v>
      </c>
      <c r="B20" s="228" t="s">
        <v>624</v>
      </c>
      <c r="C20" s="229">
        <f>+D20+I20</f>
        <v>4136000000</v>
      </c>
      <c r="D20" s="230">
        <f>SUM(E20:H20)</f>
        <v>530000000</v>
      </c>
      <c r="E20" s="230">
        <v>0</v>
      </c>
      <c r="F20" s="230">
        <v>530000000</v>
      </c>
      <c r="G20" s="230">
        <v>0</v>
      </c>
      <c r="H20" s="230">
        <v>0</v>
      </c>
      <c r="I20" s="230">
        <f>SUM(J20:M20)-N20</f>
        <v>3606000000</v>
      </c>
      <c r="J20" s="230">
        <f>SUM(J21:J22)</f>
        <v>0</v>
      </c>
      <c r="K20" s="230">
        <f>SUM(K21:K22)</f>
        <v>3574000000</v>
      </c>
      <c r="L20" s="230">
        <f>SUM(L21:L22)</f>
        <v>32000000</v>
      </c>
      <c r="M20" s="230">
        <f>SUM(M21:M22)</f>
        <v>0</v>
      </c>
      <c r="N20" s="230">
        <f>SUM(N21:N22)</f>
        <v>0</v>
      </c>
      <c r="O20" s="229">
        <f>SUM(P20:Q20)</f>
        <v>0</v>
      </c>
      <c r="P20" s="229">
        <f>SUM(P21:P22)</f>
        <v>0</v>
      </c>
      <c r="Q20" s="229">
        <f>SUM(Q21:Q22)</f>
        <v>0</v>
      </c>
      <c r="R20" s="229">
        <f>SUM(R21:R22)</f>
        <v>0</v>
      </c>
      <c r="S20" s="229">
        <f>+C20-O20-R20</f>
        <v>4136000000</v>
      </c>
      <c r="T20" s="229">
        <f>SUM(T21:T22)</f>
        <v>174000000</v>
      </c>
      <c r="U20" s="229">
        <f>SUM(U21:U22)</f>
        <v>0</v>
      </c>
      <c r="V20" s="229">
        <f>SUM(V21:V22)</f>
        <v>4136000000</v>
      </c>
      <c r="W20" s="229">
        <f>SUM(W21:W22)</f>
        <v>0</v>
      </c>
      <c r="X20" s="231">
        <f>SUM(X21:X22)</f>
        <v>176000000</v>
      </c>
      <c r="Y20" s="231">
        <f t="shared" ref="Y20:AN20" si="12">SUM(Y21:Y22)</f>
        <v>176000000</v>
      </c>
      <c r="Z20" s="231">
        <f t="shared" si="12"/>
        <v>352000000</v>
      </c>
      <c r="AA20" s="224">
        <f t="shared" si="12"/>
        <v>88000000</v>
      </c>
      <c r="AB20" s="287">
        <f t="shared" si="12"/>
        <v>660000000</v>
      </c>
      <c r="AC20" s="287">
        <f t="shared" si="12"/>
        <v>88000000</v>
      </c>
      <c r="AD20" s="287">
        <f t="shared" si="12"/>
        <v>264000000</v>
      </c>
      <c r="AE20" s="287">
        <f t="shared" si="12"/>
        <v>176000000</v>
      </c>
      <c r="AF20" s="287">
        <f t="shared" si="12"/>
        <v>528000000</v>
      </c>
      <c r="AG20" s="287">
        <f t="shared" si="12"/>
        <v>44000000</v>
      </c>
      <c r="AH20" s="287">
        <f t="shared" si="12"/>
        <v>396000000</v>
      </c>
      <c r="AI20" s="287">
        <f t="shared" si="12"/>
        <v>0</v>
      </c>
      <c r="AJ20" s="287">
        <f t="shared" si="12"/>
        <v>0</v>
      </c>
      <c r="AK20" s="287">
        <f t="shared" si="12"/>
        <v>264000000</v>
      </c>
      <c r="AL20" s="287">
        <f t="shared" si="12"/>
        <v>0</v>
      </c>
      <c r="AM20" s="287">
        <f t="shared" si="12"/>
        <v>220000000</v>
      </c>
      <c r="AN20" s="287">
        <f t="shared" si="12"/>
        <v>44000000</v>
      </c>
    </row>
    <row r="21" spans="1:42" s="301" customFormat="1" ht="15.75" customHeight="1">
      <c r="A21" s="288" t="s">
        <v>106</v>
      </c>
      <c r="B21" s="289" t="s">
        <v>551</v>
      </c>
      <c r="C21" s="290">
        <f>+D21+I21</f>
        <v>3780000000</v>
      </c>
      <c r="D21" s="239">
        <f>SUM(E21:H21)</f>
        <v>490000000</v>
      </c>
      <c r="E21" s="239"/>
      <c r="F21" s="239">
        <v>490000000</v>
      </c>
      <c r="G21" s="239"/>
      <c r="H21" s="239"/>
      <c r="I21" s="239">
        <f>SUM(J21:M21)-N21</f>
        <v>3290000000</v>
      </c>
      <c r="J21" s="291"/>
      <c r="K21" s="291">
        <v>3290000000</v>
      </c>
      <c r="L21" s="291"/>
      <c r="M21" s="291"/>
      <c r="N21" s="292"/>
      <c r="O21" s="290">
        <f>SUM(P21:Q21)</f>
        <v>0</v>
      </c>
      <c r="P21" s="293"/>
      <c r="Q21" s="293"/>
      <c r="R21" s="294"/>
      <c r="S21" s="290">
        <f>+C21-O21-R21</f>
        <v>3780000000</v>
      </c>
      <c r="T21" s="294">
        <v>170000000</v>
      </c>
      <c r="U21" s="294"/>
      <c r="V21" s="241">
        <f>+S21</f>
        <v>3780000000</v>
      </c>
      <c r="W21" s="242"/>
      <c r="X21" s="321">
        <v>160000000</v>
      </c>
      <c r="Y21" s="321">
        <v>160000000</v>
      </c>
      <c r="Z21" s="321">
        <v>320000000</v>
      </c>
      <c r="AA21" s="321">
        <v>80000000</v>
      </c>
      <c r="AB21" s="298">
        <v>600000000</v>
      </c>
      <c r="AC21" s="298">
        <v>80000000</v>
      </c>
      <c r="AD21" s="298">
        <v>240000000</v>
      </c>
      <c r="AE21" s="298">
        <v>160000000</v>
      </c>
      <c r="AF21" s="298">
        <v>480000000</v>
      </c>
      <c r="AG21" s="298">
        <f>40000000</f>
        <v>40000000</v>
      </c>
      <c r="AH21" s="298">
        <v>360000000</v>
      </c>
      <c r="AI21" s="298"/>
      <c r="AJ21" s="298"/>
      <c r="AK21" s="298">
        <v>240000000</v>
      </c>
      <c r="AL21" s="298"/>
      <c r="AM21" s="299">
        <v>200000000</v>
      </c>
      <c r="AN21" s="299">
        <v>40000000</v>
      </c>
      <c r="AO21" s="322">
        <f>SUM(X21:AN21)</f>
        <v>3160000000</v>
      </c>
    </row>
    <row r="22" spans="1:42" s="218" customFormat="1" ht="15.75" customHeight="1">
      <c r="A22" s="227" t="s">
        <v>106</v>
      </c>
      <c r="B22" s="232" t="s">
        <v>560</v>
      </c>
      <c r="C22" s="229">
        <f>+D22+I22</f>
        <v>356000000</v>
      </c>
      <c r="D22" s="230">
        <f>SUM(E22:H22)</f>
        <v>40000000</v>
      </c>
      <c r="E22" s="230"/>
      <c r="F22" s="230">
        <v>40000000</v>
      </c>
      <c r="G22" s="230"/>
      <c r="H22" s="230"/>
      <c r="I22" s="230">
        <f>SUM(J22:M22)-N22</f>
        <v>316000000</v>
      </c>
      <c r="J22" s="233"/>
      <c r="K22" s="233">
        <v>284000000</v>
      </c>
      <c r="L22" s="233">
        <v>32000000</v>
      </c>
      <c r="M22" s="233"/>
      <c r="N22" s="234"/>
      <c r="O22" s="229">
        <f>SUM(P22:Q22)</f>
        <v>0</v>
      </c>
      <c r="P22" s="235"/>
      <c r="Q22" s="236"/>
      <c r="R22" s="236"/>
      <c r="S22" s="229">
        <f>+C22-O22-R22</f>
        <v>356000000</v>
      </c>
      <c r="T22" s="236">
        <v>4000000</v>
      </c>
      <c r="U22" s="236"/>
      <c r="V22" s="237">
        <f>+S22</f>
        <v>356000000</v>
      </c>
      <c r="W22" s="238"/>
      <c r="X22" s="231">
        <v>16000000</v>
      </c>
      <c r="Y22" s="231">
        <f>+Y9</f>
        <v>16000000</v>
      </c>
      <c r="Z22" s="231">
        <v>32000000</v>
      </c>
      <c r="AA22" s="224">
        <v>8000000</v>
      </c>
      <c r="AB22" s="287">
        <v>60000000</v>
      </c>
      <c r="AC22" s="287">
        <v>8000000</v>
      </c>
      <c r="AD22" s="287">
        <v>24000000</v>
      </c>
      <c r="AE22" s="287">
        <v>16000000</v>
      </c>
      <c r="AF22" s="287">
        <v>48000000</v>
      </c>
      <c r="AG22" s="287">
        <v>4000000</v>
      </c>
      <c r="AH22" s="287">
        <v>36000000</v>
      </c>
      <c r="AI22" s="287">
        <v>0</v>
      </c>
      <c r="AJ22" s="287"/>
      <c r="AK22" s="287">
        <v>24000000</v>
      </c>
      <c r="AL22" s="287"/>
      <c r="AM22" s="302">
        <v>20000000</v>
      </c>
      <c r="AN22" s="302">
        <v>4000000</v>
      </c>
      <c r="AO22" s="278">
        <f>SUM(X22:AN22)</f>
        <v>316000000</v>
      </c>
    </row>
    <row r="23" spans="1:42" s="218" customFormat="1" ht="37.5" customHeight="1">
      <c r="A23" s="227" t="s">
        <v>60</v>
      </c>
      <c r="B23" s="228" t="s">
        <v>559</v>
      </c>
      <c r="C23" s="229">
        <f t="shared" ref="C23:J23" si="13">SUM(C24:C25)</f>
        <v>41934237599</v>
      </c>
      <c r="D23" s="230">
        <f t="shared" si="13"/>
        <v>4417237599</v>
      </c>
      <c r="E23" s="230">
        <f t="shared" si="13"/>
        <v>511199700</v>
      </c>
      <c r="F23" s="230">
        <f t="shared" si="13"/>
        <v>3900831855</v>
      </c>
      <c r="G23" s="230">
        <f t="shared" si="13"/>
        <v>5035900</v>
      </c>
      <c r="H23" s="230">
        <f t="shared" si="13"/>
        <v>170144</v>
      </c>
      <c r="I23" s="230">
        <f t="shared" si="13"/>
        <v>37517000000</v>
      </c>
      <c r="J23" s="230">
        <f t="shared" si="13"/>
        <v>0</v>
      </c>
      <c r="K23" s="230">
        <f>SUM(K24:K25)</f>
        <v>37517000000</v>
      </c>
      <c r="L23" s="230">
        <f t="shared" ref="L23:W23" si="14">SUM(L24:L25)</f>
        <v>0</v>
      </c>
      <c r="M23" s="230">
        <f t="shared" si="14"/>
        <v>0</v>
      </c>
      <c r="N23" s="230">
        <f t="shared" si="14"/>
        <v>0</v>
      </c>
      <c r="O23" s="229">
        <f t="shared" si="14"/>
        <v>40584097181</v>
      </c>
      <c r="P23" s="229">
        <f t="shared" si="14"/>
        <v>8418719100</v>
      </c>
      <c r="Q23" s="229">
        <f t="shared" si="14"/>
        <v>32165378081</v>
      </c>
      <c r="R23" s="229">
        <f t="shared" si="14"/>
        <v>5206044</v>
      </c>
      <c r="S23" s="229">
        <f t="shared" si="14"/>
        <v>1344934374</v>
      </c>
      <c r="T23" s="229">
        <f t="shared" si="14"/>
        <v>0</v>
      </c>
      <c r="U23" s="229">
        <f t="shared" si="14"/>
        <v>111938240</v>
      </c>
      <c r="V23" s="229">
        <f t="shared" si="14"/>
        <v>222959299</v>
      </c>
      <c r="W23" s="229">
        <f t="shared" si="14"/>
        <v>982141688</v>
      </c>
      <c r="X23" s="231">
        <f>SUM(X24:X25)</f>
        <v>364188400</v>
      </c>
      <c r="Y23" s="231">
        <f t="shared" ref="Y23:AN23" si="15">SUM(Y24:Y25)</f>
        <v>2627662452</v>
      </c>
      <c r="Z23" s="231">
        <f t="shared" si="15"/>
        <v>2625219300</v>
      </c>
      <c r="AA23" s="224">
        <f t="shared" si="15"/>
        <v>801469124</v>
      </c>
      <c r="AB23" s="287">
        <f t="shared" si="15"/>
        <v>813735400</v>
      </c>
      <c r="AC23" s="287">
        <f t="shared" si="15"/>
        <v>1907802718</v>
      </c>
      <c r="AD23" s="287">
        <f t="shared" si="15"/>
        <v>2664660100</v>
      </c>
      <c r="AE23" s="287">
        <f t="shared" si="15"/>
        <v>1603322800</v>
      </c>
      <c r="AF23" s="287">
        <f t="shared" si="15"/>
        <v>2373844073</v>
      </c>
      <c r="AG23" s="287">
        <f t="shared" si="15"/>
        <v>713588897</v>
      </c>
      <c r="AH23" s="287">
        <f t="shared" si="15"/>
        <v>2334154900</v>
      </c>
      <c r="AI23" s="287">
        <f t="shared" si="15"/>
        <v>2614466222</v>
      </c>
      <c r="AJ23" s="287">
        <f t="shared" si="15"/>
        <v>3043886720</v>
      </c>
      <c r="AK23" s="287">
        <f t="shared" si="15"/>
        <v>2647495200</v>
      </c>
      <c r="AL23" s="287">
        <f t="shared" si="15"/>
        <v>1560037383</v>
      </c>
      <c r="AM23" s="302">
        <f t="shared" si="15"/>
        <v>3082377537</v>
      </c>
      <c r="AN23" s="302">
        <f t="shared" si="15"/>
        <v>387853100</v>
      </c>
    </row>
    <row r="24" spans="1:42" s="301" customFormat="1" ht="15.75" customHeight="1">
      <c r="A24" s="288" t="s">
        <v>106</v>
      </c>
      <c r="B24" s="289" t="s">
        <v>551</v>
      </c>
      <c r="C24" s="290">
        <f>+D24+I24</f>
        <v>39994141555</v>
      </c>
      <c r="D24" s="239">
        <f>SUM(E24:H24)</f>
        <v>4399141555</v>
      </c>
      <c r="E24" s="239">
        <v>498309700</v>
      </c>
      <c r="F24" s="239">
        <f>4639864513-F27</f>
        <v>3900831855</v>
      </c>
      <c r="G24" s="239">
        <v>0</v>
      </c>
      <c r="H24" s="239"/>
      <c r="I24" s="239">
        <f>SUM(J24:M24)-N24</f>
        <v>35595000000</v>
      </c>
      <c r="J24" s="291"/>
      <c r="K24" s="291">
        <v>35595000000</v>
      </c>
      <c r="L24" s="291"/>
      <c r="M24" s="291"/>
      <c r="N24" s="292"/>
      <c r="O24" s="290">
        <f>SUM(P24:Q24)</f>
        <v>38661621083</v>
      </c>
      <c r="P24" s="323">
        <f>475200000+4850900+7525685900</f>
        <v>8005736800</v>
      </c>
      <c r="Q24" s="323">
        <f>27497884283+3158000000</f>
        <v>30655884283</v>
      </c>
      <c r="R24" s="294"/>
      <c r="S24" s="290">
        <f>+C24-O24-R24</f>
        <v>1332520472</v>
      </c>
      <c r="T24" s="294"/>
      <c r="U24" s="294">
        <v>108774440</v>
      </c>
      <c r="V24" s="241">
        <f>82896300+140062999</f>
        <v>222959299</v>
      </c>
      <c r="W24" s="242">
        <f>379759077+602382611</f>
        <v>982141688</v>
      </c>
      <c r="X24" s="321">
        <v>345518400</v>
      </c>
      <c r="Y24" s="321">
        <v>2502262452</v>
      </c>
      <c r="Z24" s="321">
        <v>2499979300</v>
      </c>
      <c r="AA24" s="321">
        <v>761059124</v>
      </c>
      <c r="AB24" s="298">
        <v>771035400</v>
      </c>
      <c r="AC24" s="298">
        <v>1833558818</v>
      </c>
      <c r="AD24" s="298">
        <f>2527020100</f>
        <v>2527020100</v>
      </c>
      <c r="AE24" s="298">
        <v>1518462800</v>
      </c>
      <c r="AF24" s="298">
        <v>2248054073</v>
      </c>
      <c r="AG24" s="298">
        <v>687438897</v>
      </c>
      <c r="AH24" s="298">
        <v>2222154900</v>
      </c>
      <c r="AI24" s="298">
        <v>2489116222</v>
      </c>
      <c r="AJ24" s="298">
        <v>2911236822</v>
      </c>
      <c r="AK24" s="298">
        <v>2521995200</v>
      </c>
      <c r="AL24" s="298">
        <v>1499737383</v>
      </c>
      <c r="AM24" s="299">
        <v>2944777537</v>
      </c>
      <c r="AN24" s="299">
        <v>372863100</v>
      </c>
      <c r="AO24" s="322">
        <f>SUM(X24:AN24)</f>
        <v>30656270528</v>
      </c>
    </row>
    <row r="25" spans="1:42" s="218" customFormat="1" ht="15.75" customHeight="1">
      <c r="A25" s="227" t="s">
        <v>106</v>
      </c>
      <c r="B25" s="232" t="s">
        <v>560</v>
      </c>
      <c r="C25" s="229">
        <f>+D25+I25</f>
        <v>1940096044</v>
      </c>
      <c r="D25" s="230">
        <f>SUM(E25:H25)</f>
        <v>18096044</v>
      </c>
      <c r="E25" s="230">
        <v>12890000</v>
      </c>
      <c r="F25" s="230"/>
      <c r="G25" s="230">
        <v>5035900</v>
      </c>
      <c r="H25" s="230">
        <v>170144</v>
      </c>
      <c r="I25" s="230">
        <f>SUM(J25:M25)-N25</f>
        <v>1922000000</v>
      </c>
      <c r="J25" s="233"/>
      <c r="K25" s="233">
        <v>1922000000</v>
      </c>
      <c r="L25" s="233"/>
      <c r="M25" s="233"/>
      <c r="N25" s="234"/>
      <c r="O25" s="229">
        <f>SUM(P25:Q25)</f>
        <v>1922476098</v>
      </c>
      <c r="P25" s="229">
        <f>402353100+10629200</f>
        <v>412982300</v>
      </c>
      <c r="Q25" s="243">
        <v>1509493798</v>
      </c>
      <c r="R25" s="244">
        <f>+G25+H25</f>
        <v>5206044</v>
      </c>
      <c r="S25" s="229">
        <f>+C25-O25-R25</f>
        <v>12413902</v>
      </c>
      <c r="T25" s="236"/>
      <c r="U25" s="236">
        <f>903000+2260800</f>
        <v>3163800</v>
      </c>
      <c r="V25" s="237"/>
      <c r="W25" s="238"/>
      <c r="X25" s="231">
        <v>18670000</v>
      </c>
      <c r="Y25" s="231">
        <v>125400000</v>
      </c>
      <c r="Z25" s="231">
        <v>125240000</v>
      </c>
      <c r="AA25" s="224">
        <v>40410000</v>
      </c>
      <c r="AB25" s="287">
        <v>42700000</v>
      </c>
      <c r="AC25" s="287">
        <v>74243900</v>
      </c>
      <c r="AD25" s="287">
        <v>137640000</v>
      </c>
      <c r="AE25" s="287">
        <v>84860000</v>
      </c>
      <c r="AF25" s="287">
        <v>125790000</v>
      </c>
      <c r="AG25" s="287">
        <v>26150000</v>
      </c>
      <c r="AH25" s="287">
        <v>112000000</v>
      </c>
      <c r="AI25" s="287">
        <v>125350000</v>
      </c>
      <c r="AJ25" s="287">
        <v>132649898</v>
      </c>
      <c r="AK25" s="287">
        <v>125500000</v>
      </c>
      <c r="AL25" s="287">
        <v>60300000</v>
      </c>
      <c r="AM25" s="302">
        <v>137600000</v>
      </c>
      <c r="AN25" s="302">
        <v>14990000</v>
      </c>
      <c r="AO25" s="278">
        <f>SUM(X25:AN25)</f>
        <v>1509493798</v>
      </c>
    </row>
    <row r="26" spans="1:42" s="154" customFormat="1" ht="33" customHeight="1">
      <c r="A26" s="227" t="s">
        <v>60</v>
      </c>
      <c r="B26" s="232" t="s">
        <v>625</v>
      </c>
      <c r="C26" s="229">
        <f>SUM(C27:C28)</f>
        <v>739032658</v>
      </c>
      <c r="D26" s="230">
        <f t="shared" ref="D26:W26" si="16">SUM(D27:D28)</f>
        <v>739032658</v>
      </c>
      <c r="E26" s="230">
        <f t="shared" si="16"/>
        <v>0</v>
      </c>
      <c r="F26" s="230">
        <f t="shared" si="16"/>
        <v>739032658</v>
      </c>
      <c r="G26" s="230">
        <f t="shared" si="16"/>
        <v>0</v>
      </c>
      <c r="H26" s="230">
        <f t="shared" si="16"/>
        <v>0</v>
      </c>
      <c r="I26" s="230">
        <f t="shared" si="16"/>
        <v>0</v>
      </c>
      <c r="J26" s="230">
        <f t="shared" si="16"/>
        <v>0</v>
      </c>
      <c r="K26" s="230">
        <f t="shared" si="16"/>
        <v>0</v>
      </c>
      <c r="L26" s="230">
        <f t="shared" si="16"/>
        <v>0</v>
      </c>
      <c r="M26" s="230">
        <f t="shared" si="16"/>
        <v>0</v>
      </c>
      <c r="N26" s="230">
        <f t="shared" si="16"/>
        <v>0</v>
      </c>
      <c r="O26" s="229">
        <f t="shared" si="16"/>
        <v>646843888</v>
      </c>
      <c r="P26" s="229">
        <f t="shared" si="16"/>
        <v>0</v>
      </c>
      <c r="Q26" s="229">
        <f t="shared" si="16"/>
        <v>646843888</v>
      </c>
      <c r="R26" s="229">
        <f t="shared" si="16"/>
        <v>0</v>
      </c>
      <c r="S26" s="229">
        <f t="shared" si="16"/>
        <v>92188770</v>
      </c>
      <c r="T26" s="229">
        <f t="shared" si="16"/>
        <v>0</v>
      </c>
      <c r="U26" s="229">
        <f t="shared" si="16"/>
        <v>0</v>
      </c>
      <c r="V26" s="229">
        <f t="shared" si="16"/>
        <v>49428070</v>
      </c>
      <c r="W26" s="229">
        <f t="shared" si="16"/>
        <v>42760700</v>
      </c>
      <c r="X26" s="231">
        <f>SUM(X27:X28)</f>
        <v>0</v>
      </c>
      <c r="Y26" s="231">
        <f t="shared" ref="Y26:AL26" si="17">SUM(Y27:Y28)</f>
        <v>472911829</v>
      </c>
      <c r="Z26" s="231">
        <f t="shared" si="17"/>
        <v>0</v>
      </c>
      <c r="AA26" s="224">
        <f t="shared" si="17"/>
        <v>0</v>
      </c>
      <c r="AB26" s="287">
        <f t="shared" si="17"/>
        <v>0</v>
      </c>
      <c r="AC26" s="287">
        <f t="shared" si="17"/>
        <v>0</v>
      </c>
      <c r="AD26" s="287">
        <f t="shared" si="17"/>
        <v>0</v>
      </c>
      <c r="AE26" s="287">
        <f t="shared" si="17"/>
        <v>0</v>
      </c>
      <c r="AF26" s="287">
        <f t="shared" si="17"/>
        <v>173932059</v>
      </c>
      <c r="AG26" s="287">
        <f t="shared" si="17"/>
        <v>0</v>
      </c>
      <c r="AH26" s="287">
        <f t="shared" si="17"/>
        <v>0</v>
      </c>
      <c r="AI26" s="287">
        <f t="shared" si="17"/>
        <v>0</v>
      </c>
      <c r="AJ26" s="287">
        <f t="shared" si="17"/>
        <v>0</v>
      </c>
      <c r="AK26" s="287">
        <f t="shared" si="17"/>
        <v>0</v>
      </c>
      <c r="AL26" s="287">
        <f t="shared" si="17"/>
        <v>0</v>
      </c>
      <c r="AM26" s="318"/>
      <c r="AN26" s="318"/>
      <c r="AO26" s="278">
        <f>SUM(X26:AN26)</f>
        <v>646843888</v>
      </c>
    </row>
    <row r="27" spans="1:42" s="317" customFormat="1" ht="22.5" customHeight="1">
      <c r="A27" s="303" t="s">
        <v>106</v>
      </c>
      <c r="B27" s="304" t="s">
        <v>551</v>
      </c>
      <c r="C27" s="305">
        <f>+D27+I27</f>
        <v>739032658</v>
      </c>
      <c r="D27" s="306">
        <f>SUM(E27:H27)</f>
        <v>739032658</v>
      </c>
      <c r="E27" s="306"/>
      <c r="F27" s="306">
        <v>739032658</v>
      </c>
      <c r="G27" s="306"/>
      <c r="H27" s="306"/>
      <c r="I27" s="306">
        <f>SUM(J27:M27)-N27</f>
        <v>0</v>
      </c>
      <c r="J27" s="307"/>
      <c r="K27" s="307"/>
      <c r="L27" s="307"/>
      <c r="M27" s="307"/>
      <c r="N27" s="308"/>
      <c r="O27" s="305">
        <f>SUM(P27:Q27)</f>
        <v>646843888</v>
      </c>
      <c r="P27" s="319"/>
      <c r="Q27" s="319">
        <v>646843888</v>
      </c>
      <c r="R27" s="310"/>
      <c r="S27" s="305">
        <f>+C27-O27-R27</f>
        <v>92188770</v>
      </c>
      <c r="T27" s="310"/>
      <c r="U27" s="310"/>
      <c r="V27" s="311">
        <v>49428070</v>
      </c>
      <c r="W27" s="312">
        <v>42760700</v>
      </c>
      <c r="X27" s="313"/>
      <c r="Y27" s="313">
        <v>472911829</v>
      </c>
      <c r="Z27" s="313"/>
      <c r="AA27" s="313"/>
      <c r="AB27" s="314"/>
      <c r="AC27" s="314"/>
      <c r="AD27" s="314"/>
      <c r="AE27" s="314"/>
      <c r="AF27" s="314">
        <v>173932059</v>
      </c>
      <c r="AG27" s="314"/>
      <c r="AH27" s="314"/>
      <c r="AI27" s="314"/>
      <c r="AJ27" s="314"/>
      <c r="AK27" s="314"/>
      <c r="AL27" s="314"/>
      <c r="AM27" s="315"/>
      <c r="AN27" s="315"/>
      <c r="AO27" s="278">
        <f t="shared" ref="AO27:AO60" si="18">SUM(X27:AN27)</f>
        <v>646843888</v>
      </c>
    </row>
    <row r="28" spans="1:42" s="154" customFormat="1" ht="22.5" customHeight="1">
      <c r="A28" s="227" t="s">
        <v>106</v>
      </c>
      <c r="B28" s="232" t="s">
        <v>560</v>
      </c>
      <c r="C28" s="229">
        <f>+D28+I28</f>
        <v>0</v>
      </c>
      <c r="D28" s="230">
        <f>SUM(E28:H28)</f>
        <v>0</v>
      </c>
      <c r="E28" s="230"/>
      <c r="F28" s="230"/>
      <c r="G28" s="230"/>
      <c r="H28" s="230"/>
      <c r="I28" s="230">
        <f>SUM(J28:M28)-N28</f>
        <v>0</v>
      </c>
      <c r="J28" s="233"/>
      <c r="K28" s="233"/>
      <c r="L28" s="233"/>
      <c r="M28" s="233"/>
      <c r="N28" s="234"/>
      <c r="O28" s="229">
        <f>SUM(P28:Q28)</f>
        <v>0</v>
      </c>
      <c r="P28" s="235"/>
      <c r="Q28" s="236"/>
      <c r="R28" s="236"/>
      <c r="S28" s="229">
        <f>+C28-O28-R28</f>
        <v>0</v>
      </c>
      <c r="T28" s="236">
        <f>+C28-O28</f>
        <v>0</v>
      </c>
      <c r="U28" s="236"/>
      <c r="V28" s="237"/>
      <c r="W28" s="238"/>
      <c r="X28" s="231"/>
      <c r="Y28" s="231"/>
      <c r="Z28" s="231"/>
      <c r="AA28" s="225"/>
      <c r="AB28" s="320"/>
      <c r="AC28" s="320"/>
      <c r="AD28" s="320"/>
      <c r="AE28" s="320"/>
      <c r="AF28" s="320"/>
      <c r="AG28" s="320"/>
      <c r="AH28" s="320"/>
      <c r="AI28" s="320"/>
      <c r="AJ28" s="320"/>
      <c r="AK28" s="320"/>
      <c r="AL28" s="320"/>
      <c r="AM28" s="318"/>
      <c r="AN28" s="318"/>
      <c r="AO28" s="278">
        <f t="shared" si="18"/>
        <v>0</v>
      </c>
    </row>
    <row r="29" spans="1:42" s="154" customFormat="1" ht="48" customHeight="1">
      <c r="A29" s="227" t="s">
        <v>60</v>
      </c>
      <c r="B29" s="246" t="s">
        <v>633</v>
      </c>
      <c r="C29" s="229">
        <f>+D29+I29</f>
        <v>2772000000</v>
      </c>
      <c r="D29" s="230">
        <f>SUM(E29:H29)</f>
        <v>1000000000</v>
      </c>
      <c r="E29" s="230">
        <v>1000000000</v>
      </c>
      <c r="F29" s="230">
        <v>0</v>
      </c>
      <c r="G29" s="230">
        <v>0</v>
      </c>
      <c r="H29" s="230">
        <v>0</v>
      </c>
      <c r="I29" s="230">
        <f>SUM(J29:M29)-N29</f>
        <v>1772000000</v>
      </c>
      <c r="J29" s="230">
        <f>SUM(J30:J31)</f>
        <v>0</v>
      </c>
      <c r="K29" s="230">
        <f>SUM(K30:K31)</f>
        <v>1772000000</v>
      </c>
      <c r="L29" s="230">
        <f>SUM(L30:L31)</f>
        <v>0</v>
      </c>
      <c r="M29" s="230">
        <f>SUM(M30:M31)</f>
        <v>0</v>
      </c>
      <c r="N29" s="230">
        <f>SUM(N30:N31)</f>
        <v>0</v>
      </c>
      <c r="O29" s="229">
        <f>SUM(P29:Q29)</f>
        <v>1855758500</v>
      </c>
      <c r="P29" s="229">
        <f>SUM(P30:P31)</f>
        <v>1855758500</v>
      </c>
      <c r="Q29" s="229">
        <f>SUM(Q30:Q31)</f>
        <v>0</v>
      </c>
      <c r="R29" s="229">
        <f>SUM(R30:R31)</f>
        <v>0</v>
      </c>
      <c r="S29" s="229">
        <f>+C29-O29-R29</f>
        <v>916241500</v>
      </c>
      <c r="T29" s="229">
        <f>SUM(T30:T31)</f>
        <v>916241500</v>
      </c>
      <c r="U29" s="229">
        <f>SUM(U30:U31)</f>
        <v>0</v>
      </c>
      <c r="V29" s="229">
        <f>SUM(V30:V31)</f>
        <v>0</v>
      </c>
      <c r="W29" s="229">
        <f>SUM(W30:W31)</f>
        <v>0</v>
      </c>
      <c r="X29" s="231">
        <f>SUM(X30:X31)</f>
        <v>0</v>
      </c>
      <c r="Y29" s="231">
        <f t="shared" ref="Y29:AL29" si="19">SUM(Y30:Y31)</f>
        <v>0</v>
      </c>
      <c r="Z29" s="231">
        <f t="shared" si="19"/>
        <v>0</v>
      </c>
      <c r="AA29" s="224">
        <f t="shared" si="19"/>
        <v>0</v>
      </c>
      <c r="AB29" s="287">
        <f t="shared" si="19"/>
        <v>0</v>
      </c>
      <c r="AC29" s="287">
        <f t="shared" si="19"/>
        <v>0</v>
      </c>
      <c r="AD29" s="287">
        <f t="shared" si="19"/>
        <v>0</v>
      </c>
      <c r="AE29" s="287">
        <f t="shared" si="19"/>
        <v>0</v>
      </c>
      <c r="AF29" s="287">
        <f t="shared" si="19"/>
        <v>0</v>
      </c>
      <c r="AG29" s="287">
        <f t="shared" si="19"/>
        <v>0</v>
      </c>
      <c r="AH29" s="287">
        <f t="shared" si="19"/>
        <v>0</v>
      </c>
      <c r="AI29" s="287">
        <f t="shared" si="19"/>
        <v>0</v>
      </c>
      <c r="AJ29" s="287">
        <f t="shared" si="19"/>
        <v>0</v>
      </c>
      <c r="AK29" s="287">
        <f t="shared" si="19"/>
        <v>0</v>
      </c>
      <c r="AL29" s="287">
        <f t="shared" si="19"/>
        <v>0</v>
      </c>
      <c r="AM29" s="318"/>
      <c r="AN29" s="318"/>
      <c r="AO29" s="278">
        <f t="shared" si="18"/>
        <v>0</v>
      </c>
    </row>
    <row r="30" spans="1:42" s="325" customFormat="1" ht="22.5" customHeight="1">
      <c r="A30" s="303" t="s">
        <v>106</v>
      </c>
      <c r="B30" s="304" t="s">
        <v>551</v>
      </c>
      <c r="C30" s="305">
        <f>+D30+I30</f>
        <v>2633000000</v>
      </c>
      <c r="D30" s="306">
        <f>SUM(E30:H30)</f>
        <v>952000000</v>
      </c>
      <c r="E30" s="306">
        <v>952000000</v>
      </c>
      <c r="F30" s="306"/>
      <c r="G30" s="306"/>
      <c r="H30" s="306"/>
      <c r="I30" s="306">
        <f>SUM(J30:M30)-N30</f>
        <v>1681000000</v>
      </c>
      <c r="J30" s="307"/>
      <c r="K30" s="307">
        <v>1681000000</v>
      </c>
      <c r="L30" s="307"/>
      <c r="M30" s="307"/>
      <c r="N30" s="308"/>
      <c r="O30" s="305">
        <f>SUM(P30:Q30)</f>
        <v>1763758500</v>
      </c>
      <c r="P30" s="319">
        <f>+C30-T30</f>
        <v>1763758500</v>
      </c>
      <c r="Q30" s="319"/>
      <c r="R30" s="310"/>
      <c r="S30" s="305">
        <f>+C30-O30-R30</f>
        <v>869241500</v>
      </c>
      <c r="T30" s="305">
        <v>869241500</v>
      </c>
      <c r="U30" s="310"/>
      <c r="V30" s="311"/>
      <c r="W30" s="312"/>
      <c r="X30" s="313"/>
      <c r="Y30" s="313"/>
      <c r="Z30" s="313"/>
      <c r="AA30" s="324"/>
      <c r="AB30" s="314"/>
      <c r="AC30" s="314"/>
      <c r="AD30" s="314"/>
      <c r="AE30" s="314"/>
      <c r="AF30" s="314"/>
      <c r="AG30" s="314"/>
      <c r="AH30" s="314"/>
      <c r="AI30" s="314"/>
      <c r="AJ30" s="314"/>
      <c r="AK30" s="314"/>
      <c r="AL30" s="314"/>
      <c r="AM30" s="315"/>
      <c r="AN30" s="315"/>
      <c r="AO30" s="278">
        <f t="shared" si="18"/>
        <v>0</v>
      </c>
    </row>
    <row r="31" spans="1:42" s="154" customFormat="1" ht="14.25">
      <c r="A31" s="227" t="s">
        <v>106</v>
      </c>
      <c r="B31" s="232" t="s">
        <v>560</v>
      </c>
      <c r="C31" s="229">
        <f>+D31+I31</f>
        <v>139000000</v>
      </c>
      <c r="D31" s="230">
        <f>SUM(E31:H31)</f>
        <v>48000000</v>
      </c>
      <c r="E31" s="230">
        <v>48000000</v>
      </c>
      <c r="F31" s="230"/>
      <c r="G31" s="230"/>
      <c r="H31" s="230"/>
      <c r="I31" s="230">
        <f>SUM(J31:M31)-N31</f>
        <v>91000000</v>
      </c>
      <c r="J31" s="233"/>
      <c r="K31" s="233">
        <v>91000000</v>
      </c>
      <c r="L31" s="233"/>
      <c r="M31" s="233"/>
      <c r="N31" s="234"/>
      <c r="O31" s="229">
        <f>SUM(P31:Q31)</f>
        <v>92000000</v>
      </c>
      <c r="P31" s="235">
        <f>+C31-T31</f>
        <v>92000000</v>
      </c>
      <c r="Q31" s="236"/>
      <c r="R31" s="236"/>
      <c r="S31" s="229">
        <f>+C31-O31-R31</f>
        <v>47000000</v>
      </c>
      <c r="T31" s="229">
        <v>47000000</v>
      </c>
      <c r="U31" s="236"/>
      <c r="V31" s="237"/>
      <c r="W31" s="238"/>
      <c r="X31" s="231"/>
      <c r="Y31" s="231"/>
      <c r="Z31" s="231"/>
      <c r="AA31" s="225"/>
      <c r="AB31" s="320"/>
      <c r="AC31" s="320"/>
      <c r="AD31" s="320"/>
      <c r="AE31" s="320"/>
      <c r="AF31" s="320"/>
      <c r="AG31" s="320"/>
      <c r="AH31" s="320"/>
      <c r="AI31" s="320"/>
      <c r="AJ31" s="320"/>
      <c r="AK31" s="320"/>
      <c r="AL31" s="320"/>
      <c r="AM31" s="318"/>
      <c r="AN31" s="318"/>
      <c r="AO31" s="278">
        <f t="shared" si="18"/>
        <v>0</v>
      </c>
    </row>
    <row r="32" spans="1:42" s="21" customFormat="1" ht="14.25">
      <c r="A32" s="249"/>
      <c r="B32" s="249" t="s">
        <v>198</v>
      </c>
      <c r="C32" s="249"/>
      <c r="D32" s="249"/>
      <c r="E32" s="249"/>
      <c r="F32" s="249"/>
      <c r="G32" s="249"/>
      <c r="H32" s="249"/>
      <c r="I32" s="249"/>
      <c r="J32" s="249"/>
      <c r="K32" s="249"/>
      <c r="L32" s="249"/>
      <c r="M32" s="249"/>
      <c r="N32" s="249"/>
      <c r="O32" s="249"/>
      <c r="P32" s="249"/>
      <c r="Q32" s="249"/>
      <c r="R32" s="249"/>
      <c r="S32" s="249"/>
      <c r="T32" s="249"/>
      <c r="U32" s="249"/>
      <c r="V32" s="249"/>
      <c r="W32" s="249"/>
      <c r="X32" s="250">
        <f>+X33+X36+X39+X42</f>
        <v>0</v>
      </c>
      <c r="Y32" s="250">
        <f t="shared" ref="Y32:AK32" si="20">+Y33+Y36+Y39+Y42</f>
        <v>0</v>
      </c>
      <c r="Z32" s="250">
        <f t="shared" si="20"/>
        <v>0</v>
      </c>
      <c r="AA32" s="251">
        <f t="shared" si="20"/>
        <v>0</v>
      </c>
      <c r="AB32" s="286">
        <f t="shared" si="20"/>
        <v>12000000</v>
      </c>
      <c r="AC32" s="286">
        <f t="shared" si="20"/>
        <v>0</v>
      </c>
      <c r="AD32" s="286">
        <f t="shared" si="20"/>
        <v>0</v>
      </c>
      <c r="AE32" s="286">
        <f t="shared" si="20"/>
        <v>0</v>
      </c>
      <c r="AF32" s="286">
        <f t="shared" si="20"/>
        <v>8000000</v>
      </c>
      <c r="AG32" s="286">
        <f t="shared" si="20"/>
        <v>0</v>
      </c>
      <c r="AH32" s="286">
        <f t="shared" si="20"/>
        <v>8000000</v>
      </c>
      <c r="AI32" s="286">
        <f t="shared" si="20"/>
        <v>4000000</v>
      </c>
      <c r="AJ32" s="286">
        <f t="shared" si="20"/>
        <v>0</v>
      </c>
      <c r="AK32" s="286">
        <f t="shared" si="20"/>
        <v>4000000</v>
      </c>
      <c r="AL32" s="286"/>
      <c r="AM32" s="326"/>
      <c r="AN32" s="326"/>
      <c r="AO32" s="278">
        <f t="shared" si="18"/>
        <v>36000000</v>
      </c>
    </row>
    <row r="33" spans="1:41" s="218" customFormat="1" ht="22.5" customHeight="1">
      <c r="A33" s="227" t="s">
        <v>60</v>
      </c>
      <c r="B33" s="228" t="s">
        <v>624</v>
      </c>
      <c r="C33" s="229">
        <f>+D33+I33</f>
        <v>4136000000</v>
      </c>
      <c r="D33" s="230">
        <f>SUM(E33:H33)</f>
        <v>530000000</v>
      </c>
      <c r="E33" s="230">
        <v>0</v>
      </c>
      <c r="F33" s="230">
        <v>530000000</v>
      </c>
      <c r="G33" s="230">
        <v>0</v>
      </c>
      <c r="H33" s="230">
        <v>0</v>
      </c>
      <c r="I33" s="230">
        <f>SUM(J33:M33)-N33</f>
        <v>3606000000</v>
      </c>
      <c r="J33" s="230">
        <f>SUM(J34:J35)</f>
        <v>0</v>
      </c>
      <c r="K33" s="230">
        <f>SUM(K34:K35)</f>
        <v>3574000000</v>
      </c>
      <c r="L33" s="230">
        <f>SUM(L34:L35)</f>
        <v>32000000</v>
      </c>
      <c r="M33" s="230">
        <f>SUM(M34:M35)</f>
        <v>0</v>
      </c>
      <c r="N33" s="230">
        <f>SUM(N34:N35)</f>
        <v>0</v>
      </c>
      <c r="O33" s="229">
        <f>SUM(P33:Q33)</f>
        <v>0</v>
      </c>
      <c r="P33" s="229">
        <f>SUM(P34:P35)</f>
        <v>0</v>
      </c>
      <c r="Q33" s="229">
        <f>SUM(Q34:Q35)</f>
        <v>0</v>
      </c>
      <c r="R33" s="229">
        <f>SUM(R34:R35)</f>
        <v>0</v>
      </c>
      <c r="S33" s="229">
        <f>+C33-O33-R33</f>
        <v>4136000000</v>
      </c>
      <c r="T33" s="229">
        <f>SUM(T34:T35)</f>
        <v>174000000</v>
      </c>
      <c r="U33" s="229">
        <f>SUM(U34:U35)</f>
        <v>0</v>
      </c>
      <c r="V33" s="229">
        <f>SUM(V34:V35)</f>
        <v>4136000000</v>
      </c>
      <c r="W33" s="229">
        <f>SUM(W34:W35)</f>
        <v>0</v>
      </c>
      <c r="X33" s="231">
        <f>SUM(X34:X35)</f>
        <v>0</v>
      </c>
      <c r="Y33" s="231">
        <f t="shared" ref="Y33:AK33" si="21">SUM(Y34:Y35)</f>
        <v>0</v>
      </c>
      <c r="Z33" s="231">
        <f t="shared" si="21"/>
        <v>0</v>
      </c>
      <c r="AA33" s="224">
        <f t="shared" si="21"/>
        <v>0</v>
      </c>
      <c r="AB33" s="287">
        <f t="shared" si="21"/>
        <v>12000000</v>
      </c>
      <c r="AC33" s="287">
        <f t="shared" si="21"/>
        <v>0</v>
      </c>
      <c r="AD33" s="287">
        <f t="shared" si="21"/>
        <v>0</v>
      </c>
      <c r="AE33" s="287">
        <f t="shared" si="21"/>
        <v>0</v>
      </c>
      <c r="AF33" s="287">
        <f t="shared" si="21"/>
        <v>8000000</v>
      </c>
      <c r="AG33" s="287">
        <f t="shared" si="21"/>
        <v>0</v>
      </c>
      <c r="AH33" s="287">
        <f t="shared" si="21"/>
        <v>8000000</v>
      </c>
      <c r="AI33" s="287">
        <f t="shared" si="21"/>
        <v>4000000</v>
      </c>
      <c r="AJ33" s="287">
        <f t="shared" si="21"/>
        <v>0</v>
      </c>
      <c r="AK33" s="287">
        <f t="shared" si="21"/>
        <v>4000000</v>
      </c>
      <c r="AL33" s="287"/>
      <c r="AM33" s="302"/>
      <c r="AN33" s="302"/>
      <c r="AO33" s="278">
        <f t="shared" si="18"/>
        <v>36000000</v>
      </c>
    </row>
    <row r="34" spans="1:41" s="218" customFormat="1" ht="14.25">
      <c r="A34" s="227" t="s">
        <v>106</v>
      </c>
      <c r="B34" s="232" t="s">
        <v>551</v>
      </c>
      <c r="C34" s="229">
        <f>+D34+I34</f>
        <v>3780000000</v>
      </c>
      <c r="D34" s="230">
        <f>SUM(E34:H34)</f>
        <v>490000000</v>
      </c>
      <c r="E34" s="230"/>
      <c r="F34" s="230">
        <v>490000000</v>
      </c>
      <c r="G34" s="230"/>
      <c r="H34" s="230"/>
      <c r="I34" s="230">
        <f>SUM(J34:M34)-N34</f>
        <v>3290000000</v>
      </c>
      <c r="J34" s="233"/>
      <c r="K34" s="233">
        <v>3290000000</v>
      </c>
      <c r="L34" s="233"/>
      <c r="M34" s="233"/>
      <c r="N34" s="234"/>
      <c r="O34" s="229">
        <f>SUM(P34:Q34)</f>
        <v>0</v>
      </c>
      <c r="P34" s="235"/>
      <c r="Q34" s="235"/>
      <c r="R34" s="236"/>
      <c r="S34" s="229">
        <f>+C34-O34-R34</f>
        <v>3780000000</v>
      </c>
      <c r="T34" s="236">
        <v>170000000</v>
      </c>
      <c r="U34" s="236"/>
      <c r="V34" s="237">
        <f>+S34</f>
        <v>3780000000</v>
      </c>
      <c r="W34" s="238"/>
      <c r="X34" s="231"/>
      <c r="Y34" s="231"/>
      <c r="Z34" s="231"/>
      <c r="AA34" s="224"/>
      <c r="AB34" s="287"/>
      <c r="AC34" s="287"/>
      <c r="AD34" s="287"/>
      <c r="AE34" s="287"/>
      <c r="AF34" s="287"/>
      <c r="AG34" s="287"/>
      <c r="AH34" s="287"/>
      <c r="AI34" s="287"/>
      <c r="AJ34" s="287"/>
      <c r="AK34" s="287"/>
      <c r="AL34" s="287"/>
      <c r="AM34" s="302"/>
      <c r="AN34" s="302"/>
      <c r="AO34" s="278">
        <f t="shared" si="18"/>
        <v>0</v>
      </c>
    </row>
    <row r="35" spans="1:41" s="218" customFormat="1" ht="33" customHeight="1">
      <c r="A35" s="227" t="s">
        <v>106</v>
      </c>
      <c r="B35" s="232" t="s">
        <v>560</v>
      </c>
      <c r="C35" s="229">
        <f>+D35+I35</f>
        <v>356000000</v>
      </c>
      <c r="D35" s="230">
        <f>SUM(E35:H35)</f>
        <v>40000000</v>
      </c>
      <c r="E35" s="230"/>
      <c r="F35" s="230">
        <v>40000000</v>
      </c>
      <c r="G35" s="230"/>
      <c r="H35" s="230"/>
      <c r="I35" s="230">
        <f>SUM(J35:M35)-N35</f>
        <v>316000000</v>
      </c>
      <c r="J35" s="233"/>
      <c r="K35" s="233">
        <v>284000000</v>
      </c>
      <c r="L35" s="233">
        <v>32000000</v>
      </c>
      <c r="M35" s="233"/>
      <c r="N35" s="234"/>
      <c r="O35" s="229">
        <f>SUM(P35:Q35)</f>
        <v>0</v>
      </c>
      <c r="P35" s="235"/>
      <c r="Q35" s="236"/>
      <c r="R35" s="236"/>
      <c r="S35" s="229">
        <f>+C35-O35-R35</f>
        <v>356000000</v>
      </c>
      <c r="T35" s="236">
        <v>4000000</v>
      </c>
      <c r="U35" s="236"/>
      <c r="V35" s="237">
        <f>+S35</f>
        <v>356000000</v>
      </c>
      <c r="W35" s="238"/>
      <c r="X35" s="231"/>
      <c r="Y35" s="231"/>
      <c r="Z35" s="231"/>
      <c r="AA35" s="224"/>
      <c r="AB35" s="287">
        <f>+AB9-AB22</f>
        <v>12000000</v>
      </c>
      <c r="AC35" s="287">
        <f t="shared" ref="AC35:AK35" si="22">+AC9-AC22</f>
        <v>0</v>
      </c>
      <c r="AD35" s="287">
        <f t="shared" si="22"/>
        <v>0</v>
      </c>
      <c r="AE35" s="287">
        <f t="shared" si="22"/>
        <v>0</v>
      </c>
      <c r="AF35" s="287">
        <f t="shared" si="22"/>
        <v>8000000</v>
      </c>
      <c r="AG35" s="287">
        <f t="shared" si="22"/>
        <v>0</v>
      </c>
      <c r="AH35" s="287">
        <f t="shared" si="22"/>
        <v>8000000</v>
      </c>
      <c r="AI35" s="287">
        <f t="shared" si="22"/>
        <v>4000000</v>
      </c>
      <c r="AJ35" s="287">
        <f t="shared" si="22"/>
        <v>0</v>
      </c>
      <c r="AK35" s="287">
        <f t="shared" si="22"/>
        <v>4000000</v>
      </c>
      <c r="AL35" s="287"/>
      <c r="AM35" s="302"/>
      <c r="AN35" s="302"/>
      <c r="AO35" s="278">
        <f t="shared" si="18"/>
        <v>36000000</v>
      </c>
    </row>
    <row r="36" spans="1:41" s="218" customFormat="1" ht="22.5" customHeight="1">
      <c r="A36" s="227" t="s">
        <v>60</v>
      </c>
      <c r="B36" s="228" t="s">
        <v>559</v>
      </c>
      <c r="C36" s="229">
        <f t="shared" ref="C36:J36" si="23">SUM(C37:C38)</f>
        <v>41934237599</v>
      </c>
      <c r="D36" s="230">
        <f t="shared" si="23"/>
        <v>4417237599</v>
      </c>
      <c r="E36" s="230">
        <f t="shared" si="23"/>
        <v>511199700</v>
      </c>
      <c r="F36" s="230">
        <f t="shared" si="23"/>
        <v>3900831855</v>
      </c>
      <c r="G36" s="230">
        <f t="shared" si="23"/>
        <v>5035900</v>
      </c>
      <c r="H36" s="230">
        <f t="shared" si="23"/>
        <v>170144</v>
      </c>
      <c r="I36" s="230">
        <f t="shared" si="23"/>
        <v>37517000000</v>
      </c>
      <c r="J36" s="230">
        <f t="shared" si="23"/>
        <v>0</v>
      </c>
      <c r="K36" s="230">
        <f>SUM(K37:K38)</f>
        <v>37517000000</v>
      </c>
      <c r="L36" s="230">
        <f t="shared" ref="L36:W36" si="24">SUM(L37:L38)</f>
        <v>0</v>
      </c>
      <c r="M36" s="230">
        <f t="shared" si="24"/>
        <v>0</v>
      </c>
      <c r="N36" s="230">
        <f t="shared" si="24"/>
        <v>0</v>
      </c>
      <c r="O36" s="229">
        <f t="shared" si="24"/>
        <v>40584097181</v>
      </c>
      <c r="P36" s="229">
        <f t="shared" si="24"/>
        <v>8418719100</v>
      </c>
      <c r="Q36" s="229">
        <f t="shared" si="24"/>
        <v>32165378081</v>
      </c>
      <c r="R36" s="229">
        <f t="shared" si="24"/>
        <v>5206044</v>
      </c>
      <c r="S36" s="229">
        <f t="shared" si="24"/>
        <v>1344934374</v>
      </c>
      <c r="T36" s="229">
        <f t="shared" si="24"/>
        <v>0</v>
      </c>
      <c r="U36" s="229">
        <f t="shared" si="24"/>
        <v>111938240</v>
      </c>
      <c r="V36" s="229">
        <f t="shared" si="24"/>
        <v>222959299</v>
      </c>
      <c r="W36" s="229">
        <f t="shared" si="24"/>
        <v>982141688</v>
      </c>
      <c r="X36" s="231">
        <f>SUM(X37:X38)</f>
        <v>0</v>
      </c>
      <c r="Y36" s="231">
        <f t="shared" ref="Y36:AN36" si="25">SUM(Y37:Y38)</f>
        <v>0</v>
      </c>
      <c r="Z36" s="231">
        <f t="shared" si="25"/>
        <v>0</v>
      </c>
      <c r="AA36" s="224">
        <f t="shared" si="25"/>
        <v>0</v>
      </c>
      <c r="AB36" s="287">
        <f t="shared" si="25"/>
        <v>0</v>
      </c>
      <c r="AC36" s="287">
        <f t="shared" si="25"/>
        <v>0</v>
      </c>
      <c r="AD36" s="287">
        <f t="shared" si="25"/>
        <v>0</v>
      </c>
      <c r="AE36" s="287">
        <f t="shared" si="25"/>
        <v>0</v>
      </c>
      <c r="AF36" s="287">
        <f t="shared" si="25"/>
        <v>0</v>
      </c>
      <c r="AG36" s="287">
        <f t="shared" si="25"/>
        <v>0</v>
      </c>
      <c r="AH36" s="287">
        <f t="shared" si="25"/>
        <v>0</v>
      </c>
      <c r="AI36" s="287">
        <f t="shared" si="25"/>
        <v>0</v>
      </c>
      <c r="AJ36" s="287">
        <f t="shared" si="25"/>
        <v>0</v>
      </c>
      <c r="AK36" s="287">
        <f t="shared" si="25"/>
        <v>0</v>
      </c>
      <c r="AL36" s="287">
        <f t="shared" si="25"/>
        <v>0</v>
      </c>
      <c r="AM36" s="302">
        <f t="shared" si="25"/>
        <v>0</v>
      </c>
      <c r="AN36" s="302">
        <f t="shared" si="25"/>
        <v>0</v>
      </c>
      <c r="AO36" s="278">
        <f t="shared" si="18"/>
        <v>0</v>
      </c>
    </row>
    <row r="37" spans="1:41" s="218" customFormat="1" ht="22.5" customHeight="1">
      <c r="A37" s="227" t="s">
        <v>106</v>
      </c>
      <c r="B37" s="232" t="s">
        <v>551</v>
      </c>
      <c r="C37" s="229">
        <f>+D37+I37</f>
        <v>39994141555</v>
      </c>
      <c r="D37" s="230">
        <f>SUM(E37:H37)</f>
        <v>4399141555</v>
      </c>
      <c r="E37" s="230">
        <v>498309700</v>
      </c>
      <c r="F37" s="239">
        <f>4639864513-F40</f>
        <v>3900831855</v>
      </c>
      <c r="G37" s="230">
        <v>0</v>
      </c>
      <c r="H37" s="230"/>
      <c r="I37" s="230">
        <f>SUM(J37:M37)-N37</f>
        <v>35595000000</v>
      </c>
      <c r="J37" s="233"/>
      <c r="K37" s="233">
        <v>35595000000</v>
      </c>
      <c r="L37" s="233"/>
      <c r="M37" s="233"/>
      <c r="N37" s="234"/>
      <c r="O37" s="229">
        <f>SUM(P37:Q37)</f>
        <v>38661621083</v>
      </c>
      <c r="P37" s="240">
        <f>475200000+4850900+7525685900</f>
        <v>8005736800</v>
      </c>
      <c r="Q37" s="240">
        <f>27497884283+3158000000</f>
        <v>30655884283</v>
      </c>
      <c r="R37" s="236"/>
      <c r="S37" s="229">
        <f>+C37-O37-R37</f>
        <v>1332520472</v>
      </c>
      <c r="T37" s="236"/>
      <c r="U37" s="236">
        <v>108774440</v>
      </c>
      <c r="V37" s="241">
        <f>82896300+140062999</f>
        <v>222959299</v>
      </c>
      <c r="W37" s="242">
        <f>379759077+602382611</f>
        <v>982141688</v>
      </c>
      <c r="X37" s="231"/>
      <c r="Y37" s="231"/>
      <c r="Z37" s="231"/>
      <c r="AA37" s="224"/>
      <c r="AB37" s="287"/>
      <c r="AC37" s="287"/>
      <c r="AD37" s="287"/>
      <c r="AE37" s="287"/>
      <c r="AF37" s="287"/>
      <c r="AG37" s="287"/>
      <c r="AH37" s="287"/>
      <c r="AI37" s="287"/>
      <c r="AJ37" s="287"/>
      <c r="AK37" s="287"/>
      <c r="AL37" s="287"/>
      <c r="AM37" s="302"/>
      <c r="AN37" s="302"/>
      <c r="AO37" s="278">
        <f t="shared" si="18"/>
        <v>0</v>
      </c>
    </row>
    <row r="38" spans="1:41" s="218" customFormat="1" ht="36.75" customHeight="1">
      <c r="A38" s="227" t="s">
        <v>106</v>
      </c>
      <c r="B38" s="232" t="s">
        <v>560</v>
      </c>
      <c r="C38" s="229">
        <f>+D38+I38</f>
        <v>1940096044</v>
      </c>
      <c r="D38" s="230">
        <f>SUM(E38:H38)</f>
        <v>18096044</v>
      </c>
      <c r="E38" s="230">
        <v>12890000</v>
      </c>
      <c r="F38" s="230"/>
      <c r="G38" s="230">
        <v>5035900</v>
      </c>
      <c r="H38" s="230">
        <v>170144</v>
      </c>
      <c r="I38" s="230">
        <f>SUM(J38:M38)-N38</f>
        <v>1922000000</v>
      </c>
      <c r="J38" s="233"/>
      <c r="K38" s="233">
        <v>1922000000</v>
      </c>
      <c r="L38" s="233"/>
      <c r="M38" s="233"/>
      <c r="N38" s="234"/>
      <c r="O38" s="229">
        <f>SUM(P38:Q38)</f>
        <v>1922476098</v>
      </c>
      <c r="P38" s="229">
        <f>402353100+10629200</f>
        <v>412982300</v>
      </c>
      <c r="Q38" s="243">
        <v>1509493798</v>
      </c>
      <c r="R38" s="244">
        <f>+G38+H38</f>
        <v>5206044</v>
      </c>
      <c r="S38" s="229">
        <f>+C38-O38-R38</f>
        <v>12413902</v>
      </c>
      <c r="T38" s="236"/>
      <c r="U38" s="236">
        <f>903000+2260800</f>
        <v>3163800</v>
      </c>
      <c r="V38" s="237"/>
      <c r="W38" s="238"/>
      <c r="X38" s="231"/>
      <c r="Y38" s="231"/>
      <c r="Z38" s="231"/>
      <c r="AA38" s="224"/>
      <c r="AB38" s="287"/>
      <c r="AC38" s="287"/>
      <c r="AD38" s="287"/>
      <c r="AE38" s="287"/>
      <c r="AF38" s="287"/>
      <c r="AG38" s="287"/>
      <c r="AH38" s="287"/>
      <c r="AI38" s="287"/>
      <c r="AJ38" s="287"/>
      <c r="AK38" s="287"/>
      <c r="AL38" s="287"/>
      <c r="AM38" s="302"/>
      <c r="AN38" s="302"/>
      <c r="AO38" s="278">
        <f t="shared" si="18"/>
        <v>0</v>
      </c>
    </row>
    <row r="39" spans="1:41" s="154" customFormat="1" ht="22.5" customHeight="1">
      <c r="A39" s="227" t="s">
        <v>60</v>
      </c>
      <c r="B39" s="232" t="s">
        <v>625</v>
      </c>
      <c r="C39" s="229">
        <f>SUM(C40:C41)</f>
        <v>739032658</v>
      </c>
      <c r="D39" s="230">
        <f t="shared" ref="D39:W39" si="26">SUM(D40:D41)</f>
        <v>739032658</v>
      </c>
      <c r="E39" s="230">
        <f t="shared" si="26"/>
        <v>0</v>
      </c>
      <c r="F39" s="230">
        <f t="shared" si="26"/>
        <v>739032658</v>
      </c>
      <c r="G39" s="230">
        <f t="shared" si="26"/>
        <v>0</v>
      </c>
      <c r="H39" s="230">
        <f t="shared" si="26"/>
        <v>0</v>
      </c>
      <c r="I39" s="230">
        <f t="shared" si="26"/>
        <v>0</v>
      </c>
      <c r="J39" s="230">
        <f t="shared" si="26"/>
        <v>0</v>
      </c>
      <c r="K39" s="230">
        <f t="shared" si="26"/>
        <v>0</v>
      </c>
      <c r="L39" s="230">
        <f t="shared" si="26"/>
        <v>0</v>
      </c>
      <c r="M39" s="230">
        <f t="shared" si="26"/>
        <v>0</v>
      </c>
      <c r="N39" s="230">
        <f t="shared" si="26"/>
        <v>0</v>
      </c>
      <c r="O39" s="229">
        <f t="shared" si="26"/>
        <v>646843888</v>
      </c>
      <c r="P39" s="229">
        <f t="shared" si="26"/>
        <v>0</v>
      </c>
      <c r="Q39" s="229">
        <f t="shared" si="26"/>
        <v>646843888</v>
      </c>
      <c r="R39" s="229">
        <f t="shared" si="26"/>
        <v>0</v>
      </c>
      <c r="S39" s="229">
        <f t="shared" si="26"/>
        <v>92188770</v>
      </c>
      <c r="T39" s="229">
        <f t="shared" si="26"/>
        <v>0</v>
      </c>
      <c r="U39" s="229">
        <f t="shared" si="26"/>
        <v>0</v>
      </c>
      <c r="V39" s="229">
        <f t="shared" si="26"/>
        <v>49428070</v>
      </c>
      <c r="W39" s="229">
        <f t="shared" si="26"/>
        <v>42760700</v>
      </c>
      <c r="X39" s="231">
        <f>SUM(X40:X41)</f>
        <v>0</v>
      </c>
      <c r="Y39" s="231">
        <f t="shared" ref="Y39:AL39" si="27">SUM(Y40:Y41)</f>
        <v>0</v>
      </c>
      <c r="Z39" s="231">
        <f t="shared" si="27"/>
        <v>0</v>
      </c>
      <c r="AA39" s="224">
        <f t="shared" si="27"/>
        <v>0</v>
      </c>
      <c r="AB39" s="287">
        <f t="shared" si="27"/>
        <v>0</v>
      </c>
      <c r="AC39" s="287">
        <f t="shared" si="27"/>
        <v>0</v>
      </c>
      <c r="AD39" s="287">
        <f t="shared" si="27"/>
        <v>0</v>
      </c>
      <c r="AE39" s="287">
        <f t="shared" si="27"/>
        <v>0</v>
      </c>
      <c r="AF39" s="287">
        <f t="shared" si="27"/>
        <v>0</v>
      </c>
      <c r="AG39" s="287">
        <f t="shared" si="27"/>
        <v>0</v>
      </c>
      <c r="AH39" s="287">
        <f t="shared" si="27"/>
        <v>0</v>
      </c>
      <c r="AI39" s="287">
        <f t="shared" si="27"/>
        <v>0</v>
      </c>
      <c r="AJ39" s="287">
        <f t="shared" si="27"/>
        <v>0</v>
      </c>
      <c r="AK39" s="287">
        <f t="shared" si="27"/>
        <v>0</v>
      </c>
      <c r="AL39" s="287">
        <f t="shared" si="27"/>
        <v>0</v>
      </c>
      <c r="AM39" s="318"/>
      <c r="AN39" s="318"/>
      <c r="AO39" s="278">
        <f t="shared" si="18"/>
        <v>0</v>
      </c>
    </row>
    <row r="40" spans="1:41" s="154" customFormat="1" ht="22.5" customHeight="1">
      <c r="A40" s="227" t="s">
        <v>106</v>
      </c>
      <c r="B40" s="232" t="s">
        <v>551</v>
      </c>
      <c r="C40" s="229">
        <f>+D40+I40</f>
        <v>739032658</v>
      </c>
      <c r="D40" s="230">
        <f>SUM(E40:H40)</f>
        <v>739032658</v>
      </c>
      <c r="E40" s="230"/>
      <c r="F40" s="245">
        <v>739032658</v>
      </c>
      <c r="G40" s="230"/>
      <c r="H40" s="230"/>
      <c r="I40" s="230">
        <f>SUM(J40:M40)-N40</f>
        <v>0</v>
      </c>
      <c r="J40" s="233"/>
      <c r="K40" s="233"/>
      <c r="L40" s="233"/>
      <c r="M40" s="233"/>
      <c r="N40" s="234"/>
      <c r="O40" s="229">
        <f>SUM(P40:Q40)</f>
        <v>646843888</v>
      </c>
      <c r="P40" s="235"/>
      <c r="Q40" s="235">
        <v>646843888</v>
      </c>
      <c r="R40" s="236"/>
      <c r="S40" s="229">
        <f>+C40-O40-R40</f>
        <v>92188770</v>
      </c>
      <c r="T40" s="236"/>
      <c r="U40" s="236"/>
      <c r="V40" s="237">
        <v>49428070</v>
      </c>
      <c r="W40" s="238">
        <v>42760700</v>
      </c>
      <c r="X40" s="231"/>
      <c r="Y40" s="231"/>
      <c r="Z40" s="231"/>
      <c r="AA40" s="225"/>
      <c r="AB40" s="320"/>
      <c r="AC40" s="320"/>
      <c r="AD40" s="320"/>
      <c r="AE40" s="320"/>
      <c r="AF40" s="320"/>
      <c r="AG40" s="320"/>
      <c r="AH40" s="320"/>
      <c r="AI40" s="320"/>
      <c r="AJ40" s="320"/>
      <c r="AK40" s="320"/>
      <c r="AL40" s="320"/>
      <c r="AM40" s="318"/>
      <c r="AN40" s="318"/>
      <c r="AO40" s="278">
        <f t="shared" si="18"/>
        <v>0</v>
      </c>
    </row>
    <row r="41" spans="1:41" s="154" customFormat="1" ht="40.5" customHeight="1">
      <c r="A41" s="227" t="s">
        <v>106</v>
      </c>
      <c r="B41" s="232" t="s">
        <v>560</v>
      </c>
      <c r="C41" s="229">
        <f>+D41+I41</f>
        <v>0</v>
      </c>
      <c r="D41" s="230">
        <f>SUM(E41:H41)</f>
        <v>0</v>
      </c>
      <c r="E41" s="230"/>
      <c r="F41" s="230"/>
      <c r="G41" s="230"/>
      <c r="H41" s="230"/>
      <c r="I41" s="230">
        <f>SUM(J41:M41)-N41</f>
        <v>0</v>
      </c>
      <c r="J41" s="233"/>
      <c r="K41" s="233"/>
      <c r="L41" s="233"/>
      <c r="M41" s="233"/>
      <c r="N41" s="234"/>
      <c r="O41" s="229">
        <f>SUM(P41:Q41)</f>
        <v>0</v>
      </c>
      <c r="P41" s="235"/>
      <c r="Q41" s="236"/>
      <c r="R41" s="236"/>
      <c r="S41" s="229">
        <f>+C41-O41-R41</f>
        <v>0</v>
      </c>
      <c r="T41" s="236">
        <f>+C41-O41</f>
        <v>0</v>
      </c>
      <c r="U41" s="236"/>
      <c r="V41" s="237"/>
      <c r="W41" s="238"/>
      <c r="X41" s="231"/>
      <c r="Y41" s="231"/>
      <c r="Z41" s="231"/>
      <c r="AA41" s="225"/>
      <c r="AB41" s="320"/>
      <c r="AC41" s="320"/>
      <c r="AD41" s="320"/>
      <c r="AE41" s="320"/>
      <c r="AF41" s="320"/>
      <c r="AG41" s="320"/>
      <c r="AH41" s="320"/>
      <c r="AI41" s="320"/>
      <c r="AJ41" s="320"/>
      <c r="AK41" s="320"/>
      <c r="AL41" s="320"/>
      <c r="AM41" s="318"/>
      <c r="AN41" s="318"/>
      <c r="AO41" s="278">
        <f t="shared" si="18"/>
        <v>0</v>
      </c>
    </row>
    <row r="42" spans="1:41" s="154" customFormat="1" ht="22.5" customHeight="1">
      <c r="A42" s="227" t="s">
        <v>60</v>
      </c>
      <c r="B42" s="246" t="s">
        <v>633</v>
      </c>
      <c r="C42" s="229">
        <f>+D42+I42</f>
        <v>2772000000</v>
      </c>
      <c r="D42" s="230">
        <f>SUM(E42:H42)</f>
        <v>1000000000</v>
      </c>
      <c r="E42" s="230">
        <v>1000000000</v>
      </c>
      <c r="F42" s="230">
        <v>0</v>
      </c>
      <c r="G42" s="230">
        <v>0</v>
      </c>
      <c r="H42" s="230">
        <v>0</v>
      </c>
      <c r="I42" s="230">
        <f>SUM(J42:M42)-N42</f>
        <v>1772000000</v>
      </c>
      <c r="J42" s="230">
        <f>SUM(J43:J44)</f>
        <v>0</v>
      </c>
      <c r="K42" s="230">
        <f>SUM(K43:K44)</f>
        <v>1772000000</v>
      </c>
      <c r="L42" s="230">
        <f>SUM(L43:L44)</f>
        <v>0</v>
      </c>
      <c r="M42" s="230">
        <f>SUM(M43:M44)</f>
        <v>0</v>
      </c>
      <c r="N42" s="230">
        <f>SUM(N43:N44)</f>
        <v>0</v>
      </c>
      <c r="O42" s="229">
        <f>SUM(P42:Q42)</f>
        <v>1855758500</v>
      </c>
      <c r="P42" s="229">
        <f>SUM(P43:P44)</f>
        <v>1855758500</v>
      </c>
      <c r="Q42" s="229">
        <f>SUM(Q43:Q44)</f>
        <v>0</v>
      </c>
      <c r="R42" s="229">
        <f>SUM(R43:R44)</f>
        <v>0</v>
      </c>
      <c r="S42" s="229">
        <f>+C42-O42-R42</f>
        <v>916241500</v>
      </c>
      <c r="T42" s="229">
        <f>SUM(T43:T44)</f>
        <v>916241500</v>
      </c>
      <c r="U42" s="229">
        <f>SUM(U43:U44)</f>
        <v>0</v>
      </c>
      <c r="V42" s="229">
        <f>SUM(V43:V44)</f>
        <v>0</v>
      </c>
      <c r="W42" s="229">
        <f>SUM(W43:W44)</f>
        <v>0</v>
      </c>
      <c r="X42" s="231">
        <f>SUM(X43:X44)</f>
        <v>0</v>
      </c>
      <c r="Y42" s="231">
        <f t="shared" ref="Y42:AL42" si="28">SUM(Y43:Y44)</f>
        <v>0</v>
      </c>
      <c r="Z42" s="231">
        <f t="shared" si="28"/>
        <v>0</v>
      </c>
      <c r="AA42" s="224">
        <f t="shared" si="28"/>
        <v>0</v>
      </c>
      <c r="AB42" s="287">
        <f t="shared" si="28"/>
        <v>0</v>
      </c>
      <c r="AC42" s="287">
        <f t="shared" si="28"/>
        <v>0</v>
      </c>
      <c r="AD42" s="287">
        <f t="shared" si="28"/>
        <v>0</v>
      </c>
      <c r="AE42" s="287">
        <f t="shared" si="28"/>
        <v>0</v>
      </c>
      <c r="AF42" s="287">
        <f t="shared" si="28"/>
        <v>0</v>
      </c>
      <c r="AG42" s="287">
        <f t="shared" si="28"/>
        <v>0</v>
      </c>
      <c r="AH42" s="287">
        <f t="shared" si="28"/>
        <v>0</v>
      </c>
      <c r="AI42" s="287">
        <f t="shared" si="28"/>
        <v>0</v>
      </c>
      <c r="AJ42" s="287">
        <f t="shared" si="28"/>
        <v>0</v>
      </c>
      <c r="AK42" s="287">
        <f t="shared" si="28"/>
        <v>0</v>
      </c>
      <c r="AL42" s="287">
        <f t="shared" si="28"/>
        <v>0</v>
      </c>
      <c r="AM42" s="318"/>
      <c r="AN42" s="318"/>
      <c r="AO42" s="278">
        <f t="shared" si="18"/>
        <v>0</v>
      </c>
    </row>
    <row r="43" spans="1:41" s="154" customFormat="1" ht="22.5" customHeight="1">
      <c r="A43" s="227" t="s">
        <v>106</v>
      </c>
      <c r="B43" s="232" t="s">
        <v>551</v>
      </c>
      <c r="C43" s="229">
        <f>+D43+I43</f>
        <v>2633000000</v>
      </c>
      <c r="D43" s="230">
        <f>SUM(E43:H43)</f>
        <v>952000000</v>
      </c>
      <c r="E43" s="230">
        <v>952000000</v>
      </c>
      <c r="F43" s="230"/>
      <c r="G43" s="230"/>
      <c r="H43" s="230"/>
      <c r="I43" s="230">
        <f>SUM(J43:M43)-N43</f>
        <v>1681000000</v>
      </c>
      <c r="J43" s="233"/>
      <c r="K43" s="233">
        <v>1681000000</v>
      </c>
      <c r="L43" s="233"/>
      <c r="M43" s="233"/>
      <c r="N43" s="234"/>
      <c r="O43" s="229">
        <f>SUM(P43:Q43)</f>
        <v>1763758500</v>
      </c>
      <c r="P43" s="235">
        <f>+C43-T43</f>
        <v>1763758500</v>
      </c>
      <c r="Q43" s="235"/>
      <c r="R43" s="236"/>
      <c r="S43" s="229">
        <f>+C43-O43-R43</f>
        <v>869241500</v>
      </c>
      <c r="T43" s="229">
        <v>869241500</v>
      </c>
      <c r="U43" s="236"/>
      <c r="V43" s="237"/>
      <c r="W43" s="238"/>
      <c r="X43" s="231"/>
      <c r="Y43" s="231"/>
      <c r="Z43" s="231"/>
      <c r="AA43" s="225"/>
      <c r="AB43" s="320"/>
      <c r="AC43" s="320"/>
      <c r="AD43" s="320"/>
      <c r="AE43" s="320"/>
      <c r="AF43" s="320"/>
      <c r="AG43" s="320"/>
      <c r="AH43" s="320"/>
      <c r="AI43" s="320"/>
      <c r="AJ43" s="320"/>
      <c r="AK43" s="320"/>
      <c r="AL43" s="320"/>
      <c r="AM43" s="318"/>
      <c r="AN43" s="318"/>
      <c r="AO43" s="278">
        <f t="shared" si="18"/>
        <v>0</v>
      </c>
    </row>
    <row r="44" spans="1:41" s="154" customFormat="1" ht="30" customHeight="1">
      <c r="A44" s="227" t="s">
        <v>106</v>
      </c>
      <c r="B44" s="232" t="s">
        <v>560</v>
      </c>
      <c r="C44" s="229">
        <f>+D44+I44</f>
        <v>139000000</v>
      </c>
      <c r="D44" s="230">
        <f>SUM(E44:H44)</f>
        <v>48000000</v>
      </c>
      <c r="E44" s="230">
        <v>48000000</v>
      </c>
      <c r="F44" s="230"/>
      <c r="G44" s="230"/>
      <c r="H44" s="230"/>
      <c r="I44" s="230">
        <f>SUM(J44:M44)-N44</f>
        <v>91000000</v>
      </c>
      <c r="J44" s="233"/>
      <c r="K44" s="233">
        <v>91000000</v>
      </c>
      <c r="L44" s="233"/>
      <c r="M44" s="233"/>
      <c r="N44" s="234"/>
      <c r="O44" s="229">
        <f>SUM(P44:Q44)</f>
        <v>92000000</v>
      </c>
      <c r="P44" s="235">
        <f>+C44-T44</f>
        <v>92000000</v>
      </c>
      <c r="Q44" s="236"/>
      <c r="R44" s="236"/>
      <c r="S44" s="229">
        <f>+C44-O44-R44</f>
        <v>47000000</v>
      </c>
      <c r="T44" s="229">
        <v>47000000</v>
      </c>
      <c r="U44" s="236"/>
      <c r="V44" s="237"/>
      <c r="W44" s="238"/>
      <c r="X44" s="231"/>
      <c r="Y44" s="231"/>
      <c r="Z44" s="231"/>
      <c r="AA44" s="225"/>
      <c r="AB44" s="320"/>
      <c r="AC44" s="320"/>
      <c r="AD44" s="320"/>
      <c r="AE44" s="320"/>
      <c r="AF44" s="320"/>
      <c r="AG44" s="320"/>
      <c r="AH44" s="320"/>
      <c r="AI44" s="320"/>
      <c r="AJ44" s="320"/>
      <c r="AK44" s="320"/>
      <c r="AL44" s="320"/>
      <c r="AM44" s="318"/>
      <c r="AN44" s="318"/>
      <c r="AO44" s="278">
        <f t="shared" si="18"/>
        <v>0</v>
      </c>
    </row>
    <row r="45" spans="1:41" ht="22.5" customHeight="1">
      <c r="AO45" s="278">
        <f t="shared" si="18"/>
        <v>0</v>
      </c>
    </row>
    <row r="46" spans="1:41" s="213" customFormat="1" ht="22.5" customHeight="1">
      <c r="A46" s="249"/>
      <c r="B46" s="249" t="s">
        <v>650</v>
      </c>
      <c r="C46" s="249"/>
      <c r="D46" s="249"/>
      <c r="E46" s="249"/>
      <c r="F46" s="249"/>
      <c r="G46" s="249"/>
      <c r="H46" s="249"/>
      <c r="I46" s="249"/>
      <c r="J46" s="249"/>
      <c r="K46" s="249"/>
      <c r="L46" s="249"/>
      <c r="M46" s="249"/>
      <c r="N46" s="249"/>
      <c r="O46" s="249"/>
      <c r="P46" s="249"/>
      <c r="Q46" s="249"/>
      <c r="R46" s="249"/>
      <c r="S46" s="249"/>
      <c r="T46" s="249"/>
      <c r="U46" s="249"/>
      <c r="V46" s="249"/>
      <c r="W46" s="249"/>
      <c r="X46" s="329"/>
      <c r="Y46" s="329"/>
      <c r="Z46" s="329"/>
      <c r="AA46" s="249" t="s">
        <v>288</v>
      </c>
      <c r="AB46" s="330"/>
      <c r="AC46" s="330"/>
      <c r="AD46" s="330"/>
      <c r="AE46" s="330"/>
      <c r="AF46" s="330"/>
      <c r="AG46" s="330"/>
      <c r="AH46" s="331"/>
      <c r="AI46" s="331"/>
      <c r="AJ46" s="331"/>
      <c r="AK46" s="331"/>
      <c r="AL46" s="331"/>
      <c r="AM46" s="332"/>
      <c r="AN46" s="332"/>
      <c r="AO46" s="278">
        <f t="shared" si="18"/>
        <v>0</v>
      </c>
    </row>
    <row r="47" spans="1:41" s="21" customFormat="1" ht="22.5" customHeight="1">
      <c r="A47" s="249"/>
      <c r="B47" s="249" t="s">
        <v>293</v>
      </c>
      <c r="C47" s="249"/>
      <c r="D47" s="249"/>
      <c r="E47" s="249"/>
      <c r="F47" s="249"/>
      <c r="G47" s="249"/>
      <c r="H47" s="249"/>
      <c r="I47" s="249"/>
      <c r="J47" s="249"/>
      <c r="K47" s="249"/>
      <c r="L47" s="249"/>
      <c r="M47" s="249"/>
      <c r="N47" s="249"/>
      <c r="O47" s="249"/>
      <c r="P47" s="249"/>
      <c r="Q47" s="249"/>
      <c r="R47" s="249"/>
      <c r="S47" s="249"/>
      <c r="T47" s="249"/>
      <c r="U47" s="249"/>
      <c r="V47" s="249"/>
      <c r="W47" s="249"/>
      <c r="X47" s="250">
        <f>+X48</f>
        <v>0</v>
      </c>
      <c r="Y47" s="250">
        <f t="shared" ref="Y47:AN47" si="29">+Y48</f>
        <v>256435072</v>
      </c>
      <c r="Z47" s="250">
        <f t="shared" si="29"/>
        <v>220517000</v>
      </c>
      <c r="AA47" s="250">
        <f t="shared" si="29"/>
        <v>1232900000</v>
      </c>
      <c r="AB47" s="250">
        <f t="shared" si="29"/>
        <v>657982000</v>
      </c>
      <c r="AC47" s="250">
        <f t="shared" si="29"/>
        <v>404900000</v>
      </c>
      <c r="AD47" s="250">
        <f t="shared" si="29"/>
        <v>533246000</v>
      </c>
      <c r="AE47" s="250">
        <f t="shared" si="29"/>
        <v>30312000</v>
      </c>
      <c r="AF47" s="250">
        <f t="shared" si="29"/>
        <v>415400000</v>
      </c>
      <c r="AG47" s="250">
        <f t="shared" si="29"/>
        <v>241665344</v>
      </c>
      <c r="AH47" s="250">
        <f t="shared" si="29"/>
        <v>64400000</v>
      </c>
      <c r="AI47" s="250">
        <f t="shared" si="29"/>
        <v>734481324</v>
      </c>
      <c r="AJ47" s="250">
        <f t="shared" si="29"/>
        <v>515669369</v>
      </c>
      <c r="AK47" s="250">
        <f t="shared" si="29"/>
        <v>419920000</v>
      </c>
      <c r="AL47" s="250">
        <f t="shared" si="29"/>
        <v>0</v>
      </c>
      <c r="AM47" s="250">
        <f t="shared" si="29"/>
        <v>0</v>
      </c>
      <c r="AN47" s="250">
        <f t="shared" si="29"/>
        <v>0</v>
      </c>
      <c r="AO47" s="278">
        <f t="shared" si="18"/>
        <v>5727828109</v>
      </c>
    </row>
    <row r="48" spans="1:41" s="179" customFormat="1" ht="22.5" customHeight="1">
      <c r="A48" s="227" t="s">
        <v>60</v>
      </c>
      <c r="B48" s="228" t="s">
        <v>651</v>
      </c>
      <c r="C48" s="229">
        <f>+D48+I48</f>
        <v>4136000000</v>
      </c>
      <c r="D48" s="230">
        <f>SUM(E48:H48)</f>
        <v>530000000</v>
      </c>
      <c r="E48" s="230">
        <v>0</v>
      </c>
      <c r="F48" s="230">
        <v>530000000</v>
      </c>
      <c r="G48" s="230">
        <v>0</v>
      </c>
      <c r="H48" s="230">
        <v>0</v>
      </c>
      <c r="I48" s="230">
        <f>SUM(J48:M48)-N48</f>
        <v>3606000000</v>
      </c>
      <c r="J48" s="230">
        <f>SUM(J49:J50)</f>
        <v>0</v>
      </c>
      <c r="K48" s="230">
        <f>SUM(K49:K50)</f>
        <v>3574000000</v>
      </c>
      <c r="L48" s="230">
        <f>SUM(L49:L50)</f>
        <v>32000000</v>
      </c>
      <c r="M48" s="230">
        <f>SUM(M49:M50)</f>
        <v>0</v>
      </c>
      <c r="N48" s="230">
        <f>SUM(N49:N50)</f>
        <v>0</v>
      </c>
      <c r="O48" s="229">
        <f>SUM(P48:Q48)</f>
        <v>0</v>
      </c>
      <c r="P48" s="229">
        <f>SUM(P49:P50)</f>
        <v>0</v>
      </c>
      <c r="Q48" s="229">
        <f>SUM(Q49:Q50)</f>
        <v>0</v>
      </c>
      <c r="R48" s="229">
        <f>SUM(R49:R50)</f>
        <v>0</v>
      </c>
      <c r="S48" s="229">
        <f>+C48-O48-R48</f>
        <v>4136000000</v>
      </c>
      <c r="T48" s="229">
        <f>SUM(T49:T50)</f>
        <v>174000000</v>
      </c>
      <c r="U48" s="229">
        <f>SUM(U49:U50)</f>
        <v>0</v>
      </c>
      <c r="V48" s="229">
        <f>SUM(V49:V50)</f>
        <v>4136000000</v>
      </c>
      <c r="W48" s="229">
        <f>SUM(W49:W50)</f>
        <v>0</v>
      </c>
      <c r="X48" s="231">
        <f>SUM(X49:X50)</f>
        <v>0</v>
      </c>
      <c r="Y48" s="231">
        <f t="shared" ref="Y48:AK48" si="30">SUM(Y49:Y50)</f>
        <v>256435072</v>
      </c>
      <c r="Z48" s="231">
        <f t="shared" si="30"/>
        <v>220517000</v>
      </c>
      <c r="AA48" s="231">
        <f>SUM(AA49:AA50)</f>
        <v>1232900000</v>
      </c>
      <c r="AB48" s="320">
        <f t="shared" si="30"/>
        <v>657982000</v>
      </c>
      <c r="AC48" s="320">
        <f t="shared" si="30"/>
        <v>404900000</v>
      </c>
      <c r="AD48" s="320">
        <f t="shared" si="30"/>
        <v>533246000</v>
      </c>
      <c r="AE48" s="320">
        <f t="shared" si="30"/>
        <v>30312000</v>
      </c>
      <c r="AF48" s="320">
        <f t="shared" si="30"/>
        <v>415400000</v>
      </c>
      <c r="AG48" s="320">
        <f t="shared" si="30"/>
        <v>241665344</v>
      </c>
      <c r="AH48" s="320">
        <f t="shared" si="30"/>
        <v>64400000</v>
      </c>
      <c r="AI48" s="320">
        <f t="shared" si="30"/>
        <v>734481324</v>
      </c>
      <c r="AJ48" s="320">
        <f t="shared" si="30"/>
        <v>515669369</v>
      </c>
      <c r="AK48" s="320">
        <f t="shared" si="30"/>
        <v>419920000</v>
      </c>
      <c r="AL48" s="333"/>
      <c r="AM48" s="334"/>
      <c r="AN48" s="334"/>
      <c r="AO48" s="278">
        <f t="shared" si="18"/>
        <v>5727828109</v>
      </c>
    </row>
    <row r="49" spans="1:41" s="179" customFormat="1" ht="22.5" customHeight="1">
      <c r="A49" s="227" t="s">
        <v>106</v>
      </c>
      <c r="B49" s="232" t="s">
        <v>551</v>
      </c>
      <c r="C49" s="229">
        <f>+D49+I49</f>
        <v>3780000000</v>
      </c>
      <c r="D49" s="230">
        <f>SUM(E49:H49)</f>
        <v>490000000</v>
      </c>
      <c r="E49" s="230"/>
      <c r="F49" s="230">
        <v>490000000</v>
      </c>
      <c r="G49" s="230"/>
      <c r="H49" s="230"/>
      <c r="I49" s="230">
        <f>SUM(J49:M49)-N49</f>
        <v>3290000000</v>
      </c>
      <c r="J49" s="233"/>
      <c r="K49" s="233">
        <v>3290000000</v>
      </c>
      <c r="L49" s="233"/>
      <c r="M49" s="233"/>
      <c r="N49" s="234"/>
      <c r="O49" s="229">
        <f>SUM(P49:Q49)</f>
        <v>0</v>
      </c>
      <c r="P49" s="235"/>
      <c r="Q49" s="235"/>
      <c r="R49" s="236"/>
      <c r="S49" s="229">
        <f>+C49-O49-R49</f>
        <v>3780000000</v>
      </c>
      <c r="T49" s="236">
        <v>170000000</v>
      </c>
      <c r="U49" s="236"/>
      <c r="V49" s="237">
        <f>+S49</f>
        <v>3780000000</v>
      </c>
      <c r="W49" s="238"/>
      <c r="X49" s="231"/>
      <c r="Y49" s="231">
        <v>256435072</v>
      </c>
      <c r="Z49" s="231">
        <v>220517000</v>
      </c>
      <c r="AA49" s="256">
        <f>129900000+1049000000</f>
        <v>1178900000</v>
      </c>
      <c r="AB49" s="320">
        <v>641582000</v>
      </c>
      <c r="AC49" s="320">
        <v>404900000</v>
      </c>
      <c r="AD49" s="320">
        <v>533246000</v>
      </c>
      <c r="AE49" s="320">
        <v>30312000</v>
      </c>
      <c r="AF49" s="320">
        <v>415400000</v>
      </c>
      <c r="AG49" s="320">
        <v>241665344</v>
      </c>
      <c r="AH49" s="320">
        <v>64400000</v>
      </c>
      <c r="AI49" s="335">
        <v>734481324</v>
      </c>
      <c r="AJ49" s="335">
        <v>515669369</v>
      </c>
      <c r="AK49" s="335">
        <v>419920000</v>
      </c>
      <c r="AL49" s="335">
        <v>419080000</v>
      </c>
      <c r="AM49" s="336">
        <v>410796732</v>
      </c>
      <c r="AN49" s="336"/>
      <c r="AO49" s="278">
        <f t="shared" si="18"/>
        <v>6487304841</v>
      </c>
    </row>
    <row r="50" spans="1:41" s="179" customFormat="1" ht="22.5" customHeight="1">
      <c r="A50" s="227" t="s">
        <v>106</v>
      </c>
      <c r="B50" s="232" t="s">
        <v>560</v>
      </c>
      <c r="C50" s="229">
        <f>+D50+I50</f>
        <v>356000000</v>
      </c>
      <c r="D50" s="230">
        <f>SUM(E50:H50)</f>
        <v>40000000</v>
      </c>
      <c r="E50" s="230"/>
      <c r="F50" s="230">
        <v>40000000</v>
      </c>
      <c r="G50" s="230"/>
      <c r="H50" s="230"/>
      <c r="I50" s="230">
        <f>SUM(J50:M50)-N50</f>
        <v>316000000</v>
      </c>
      <c r="J50" s="233"/>
      <c r="K50" s="233">
        <v>284000000</v>
      </c>
      <c r="L50" s="233">
        <v>32000000</v>
      </c>
      <c r="M50" s="233"/>
      <c r="N50" s="234"/>
      <c r="O50" s="229">
        <f>SUM(P50:Q50)</f>
        <v>0</v>
      </c>
      <c r="P50" s="235"/>
      <c r="Q50" s="236"/>
      <c r="R50" s="236"/>
      <c r="S50" s="229">
        <f>+C50-O50-R50</f>
        <v>356000000</v>
      </c>
      <c r="T50" s="236">
        <v>4000000</v>
      </c>
      <c r="U50" s="236"/>
      <c r="V50" s="237">
        <f>+S50</f>
        <v>356000000</v>
      </c>
      <c r="W50" s="238"/>
      <c r="X50" s="231"/>
      <c r="Y50" s="231"/>
      <c r="Z50" s="231"/>
      <c r="AA50" s="231">
        <v>54000000</v>
      </c>
      <c r="AB50" s="320">
        <v>16400000</v>
      </c>
      <c r="AC50" s="320"/>
      <c r="AD50" s="320"/>
      <c r="AE50" s="320"/>
      <c r="AF50" s="320"/>
      <c r="AG50" s="320"/>
      <c r="AH50" s="333"/>
      <c r="AI50" s="333"/>
      <c r="AJ50" s="333"/>
      <c r="AK50" s="333"/>
      <c r="AL50" s="333"/>
      <c r="AM50" s="334"/>
      <c r="AN50" s="334"/>
      <c r="AO50" s="278">
        <f t="shared" si="18"/>
        <v>70400000</v>
      </c>
    </row>
    <row r="51" spans="1:41" s="266" customFormat="1" ht="22.5" customHeight="1">
      <c r="A51" s="264"/>
      <c r="B51" s="264" t="s">
        <v>136</v>
      </c>
      <c r="C51" s="264"/>
      <c r="D51" s="264"/>
      <c r="E51" s="264"/>
      <c r="F51" s="264"/>
      <c r="G51" s="264"/>
      <c r="H51" s="264"/>
      <c r="I51" s="264"/>
      <c r="J51" s="264"/>
      <c r="K51" s="264"/>
      <c r="L51" s="264"/>
      <c r="M51" s="264"/>
      <c r="N51" s="264"/>
      <c r="O51" s="264"/>
      <c r="P51" s="264"/>
      <c r="Q51" s="264"/>
      <c r="R51" s="264"/>
      <c r="S51" s="264"/>
      <c r="T51" s="264"/>
      <c r="U51" s="264"/>
      <c r="V51" s="264"/>
      <c r="W51" s="264"/>
      <c r="X51" s="265">
        <f>+X52+X55+X59+X62</f>
        <v>0</v>
      </c>
      <c r="Y51" s="265">
        <f>+Y52</f>
        <v>233185972</v>
      </c>
      <c r="Z51" s="265">
        <f t="shared" ref="Z51:AN51" si="31">+Z52</f>
        <v>130538400</v>
      </c>
      <c r="AA51" s="265">
        <f t="shared" si="31"/>
        <v>1168847637</v>
      </c>
      <c r="AB51" s="265">
        <f t="shared" si="31"/>
        <v>334668500</v>
      </c>
      <c r="AC51" s="265">
        <f t="shared" si="31"/>
        <v>384891900</v>
      </c>
      <c r="AD51" s="265">
        <f t="shared" si="31"/>
        <v>318007900</v>
      </c>
      <c r="AE51" s="265">
        <f t="shared" si="31"/>
        <v>0</v>
      </c>
      <c r="AF51" s="265">
        <f t="shared" si="31"/>
        <v>82766410</v>
      </c>
      <c r="AG51" s="265">
        <f t="shared" si="31"/>
        <v>220678374</v>
      </c>
      <c r="AH51" s="265">
        <f t="shared" si="31"/>
        <v>51717200</v>
      </c>
      <c r="AI51" s="265">
        <f t="shared" si="31"/>
        <v>265596324</v>
      </c>
      <c r="AJ51" s="265">
        <f t="shared" si="31"/>
        <v>402949269</v>
      </c>
      <c r="AK51" s="265">
        <f t="shared" si="31"/>
        <v>333222000</v>
      </c>
      <c r="AL51" s="265">
        <f t="shared" si="31"/>
        <v>412851852</v>
      </c>
      <c r="AM51" s="265">
        <f t="shared" si="31"/>
        <v>403212382</v>
      </c>
      <c r="AN51" s="265">
        <f t="shared" si="31"/>
        <v>0</v>
      </c>
      <c r="AO51" s="278">
        <f t="shared" si="18"/>
        <v>4743134120</v>
      </c>
    </row>
    <row r="52" spans="1:41" s="217" customFormat="1" ht="22.5" customHeight="1">
      <c r="A52" s="252" t="s">
        <v>60</v>
      </c>
      <c r="B52" s="228" t="s">
        <v>651</v>
      </c>
      <c r="C52" s="254">
        <f>+D52+I52</f>
        <v>4136000000</v>
      </c>
      <c r="D52" s="255">
        <f>SUM(E52:H52)</f>
        <v>530000000</v>
      </c>
      <c r="E52" s="255">
        <v>0</v>
      </c>
      <c r="F52" s="255">
        <v>530000000</v>
      </c>
      <c r="G52" s="255">
        <v>0</v>
      </c>
      <c r="H52" s="255">
        <v>0</v>
      </c>
      <c r="I52" s="255">
        <f>SUM(J52:M52)-N52</f>
        <v>3606000000</v>
      </c>
      <c r="J52" s="255">
        <f>SUM(J53:J54)</f>
        <v>0</v>
      </c>
      <c r="K52" s="255">
        <f>SUM(K53:K54)</f>
        <v>3574000000</v>
      </c>
      <c r="L52" s="255">
        <f>SUM(L53:L54)</f>
        <v>32000000</v>
      </c>
      <c r="M52" s="255">
        <f>SUM(M53:M54)</f>
        <v>0</v>
      </c>
      <c r="N52" s="255">
        <f>SUM(N53:N54)</f>
        <v>0</v>
      </c>
      <c r="O52" s="254">
        <f>SUM(P52:Q52)</f>
        <v>0</v>
      </c>
      <c r="P52" s="254">
        <f>SUM(P53:P54)</f>
        <v>0</v>
      </c>
      <c r="Q52" s="254">
        <f>SUM(Q53:Q54)</f>
        <v>0</v>
      </c>
      <c r="R52" s="254">
        <f>SUM(R53:R54)</f>
        <v>0</v>
      </c>
      <c r="S52" s="254">
        <f>+C52-O52-R52</f>
        <v>4136000000</v>
      </c>
      <c r="T52" s="254">
        <f>SUM(T53:T54)</f>
        <v>174000000</v>
      </c>
      <c r="U52" s="254">
        <f>SUM(U53:U54)</f>
        <v>0</v>
      </c>
      <c r="V52" s="254">
        <f>SUM(V53:V54)</f>
        <v>4136000000</v>
      </c>
      <c r="W52" s="254">
        <f>SUM(W53:W54)</f>
        <v>0</v>
      </c>
      <c r="X52" s="256">
        <f>SUM(X53:X54)</f>
        <v>0</v>
      </c>
      <c r="Y52" s="256">
        <f t="shared" ref="Y52:AN52" si="32">SUM(Y53:Y54)</f>
        <v>233185972</v>
      </c>
      <c r="Z52" s="256">
        <f t="shared" si="32"/>
        <v>130538400</v>
      </c>
      <c r="AA52" s="256">
        <f t="shared" si="32"/>
        <v>1168847637</v>
      </c>
      <c r="AB52" s="287">
        <f t="shared" si="32"/>
        <v>334668500</v>
      </c>
      <c r="AC52" s="287">
        <f t="shared" si="32"/>
        <v>384891900</v>
      </c>
      <c r="AD52" s="287">
        <f t="shared" si="32"/>
        <v>318007900</v>
      </c>
      <c r="AE52" s="287">
        <f t="shared" si="32"/>
        <v>0</v>
      </c>
      <c r="AF52" s="287">
        <f t="shared" si="32"/>
        <v>82766410</v>
      </c>
      <c r="AG52" s="287">
        <f t="shared" si="32"/>
        <v>220678374</v>
      </c>
      <c r="AH52" s="287">
        <f t="shared" si="32"/>
        <v>51717200</v>
      </c>
      <c r="AI52" s="287">
        <f t="shared" si="32"/>
        <v>265596324</v>
      </c>
      <c r="AJ52" s="287">
        <f t="shared" si="32"/>
        <v>402949269</v>
      </c>
      <c r="AK52" s="287">
        <f t="shared" si="32"/>
        <v>333222000</v>
      </c>
      <c r="AL52" s="287">
        <f t="shared" si="32"/>
        <v>412851852</v>
      </c>
      <c r="AM52" s="287">
        <f t="shared" si="32"/>
        <v>403212382</v>
      </c>
      <c r="AN52" s="287">
        <f t="shared" si="32"/>
        <v>0</v>
      </c>
      <c r="AO52" s="278">
        <f>SUM(X52:AN52)</f>
        <v>4743134120</v>
      </c>
    </row>
    <row r="53" spans="1:41" s="217" customFormat="1" ht="22.5" customHeight="1">
      <c r="A53" s="252" t="s">
        <v>106</v>
      </c>
      <c r="B53" s="257" t="s">
        <v>551</v>
      </c>
      <c r="C53" s="254">
        <f>+D53+I53</f>
        <v>3780000000</v>
      </c>
      <c r="D53" s="255">
        <f>SUM(E53:H53)</f>
        <v>490000000</v>
      </c>
      <c r="E53" s="255"/>
      <c r="F53" s="255">
        <v>490000000</v>
      </c>
      <c r="G53" s="255"/>
      <c r="H53" s="255"/>
      <c r="I53" s="255">
        <f>SUM(J53:M53)-N53</f>
        <v>3290000000</v>
      </c>
      <c r="J53" s="258"/>
      <c r="K53" s="258">
        <v>3290000000</v>
      </c>
      <c r="L53" s="258"/>
      <c r="M53" s="258"/>
      <c r="N53" s="259"/>
      <c r="O53" s="254">
        <f>SUM(P53:Q53)</f>
        <v>0</v>
      </c>
      <c r="P53" s="260"/>
      <c r="Q53" s="260"/>
      <c r="R53" s="261"/>
      <c r="S53" s="254">
        <f>+C53-O53-R53</f>
        <v>3780000000</v>
      </c>
      <c r="T53" s="261">
        <v>170000000</v>
      </c>
      <c r="U53" s="261"/>
      <c r="V53" s="262">
        <f>+S53</f>
        <v>3780000000</v>
      </c>
      <c r="W53" s="263"/>
      <c r="X53" s="256"/>
      <c r="Y53" s="256">
        <v>233185972</v>
      </c>
      <c r="Z53" s="256">
        <v>130538400</v>
      </c>
      <c r="AA53" s="256">
        <v>1142847637</v>
      </c>
      <c r="AB53" s="287">
        <v>334668500</v>
      </c>
      <c r="AC53" s="287">
        <v>384891900</v>
      </c>
      <c r="AD53" s="287">
        <v>318007900</v>
      </c>
      <c r="AE53" s="287"/>
      <c r="AF53" s="287">
        <v>82766410</v>
      </c>
      <c r="AG53" s="287">
        <v>220678374</v>
      </c>
      <c r="AH53" s="287">
        <v>51717200</v>
      </c>
      <c r="AI53" s="287">
        <v>265596324</v>
      </c>
      <c r="AJ53" s="287">
        <v>402949269</v>
      </c>
      <c r="AK53" s="287">
        <v>333222000</v>
      </c>
      <c r="AL53" s="287">
        <v>412851852</v>
      </c>
      <c r="AM53" s="302">
        <v>403212382</v>
      </c>
      <c r="AN53" s="302"/>
      <c r="AO53" s="278">
        <f t="shared" si="18"/>
        <v>4717134120</v>
      </c>
    </row>
    <row r="54" spans="1:41" s="217" customFormat="1" ht="22.5" customHeight="1">
      <c r="A54" s="252" t="s">
        <v>106</v>
      </c>
      <c r="B54" s="257" t="s">
        <v>560</v>
      </c>
      <c r="C54" s="254">
        <f>+D54+I54</f>
        <v>356000000</v>
      </c>
      <c r="D54" s="255">
        <f>SUM(E54:H54)</f>
        <v>40000000</v>
      </c>
      <c r="E54" s="255"/>
      <c r="F54" s="255">
        <v>40000000</v>
      </c>
      <c r="G54" s="255"/>
      <c r="H54" s="255"/>
      <c r="I54" s="255">
        <f>SUM(J54:M54)-N54</f>
        <v>316000000</v>
      </c>
      <c r="J54" s="258"/>
      <c r="K54" s="258">
        <v>284000000</v>
      </c>
      <c r="L54" s="258">
        <v>32000000</v>
      </c>
      <c r="M54" s="258"/>
      <c r="N54" s="259"/>
      <c r="O54" s="254">
        <f>SUM(P54:Q54)</f>
        <v>0</v>
      </c>
      <c r="P54" s="260"/>
      <c r="Q54" s="261"/>
      <c r="R54" s="261"/>
      <c r="S54" s="254">
        <f>+C54-O54-R54</f>
        <v>356000000</v>
      </c>
      <c r="T54" s="261">
        <v>4000000</v>
      </c>
      <c r="U54" s="261"/>
      <c r="V54" s="262">
        <f>+S54</f>
        <v>356000000</v>
      </c>
      <c r="W54" s="263"/>
      <c r="X54" s="256"/>
      <c r="Y54" s="256"/>
      <c r="Z54" s="256"/>
      <c r="AA54" s="256">
        <v>26000000</v>
      </c>
      <c r="AB54" s="287"/>
      <c r="AC54" s="287"/>
      <c r="AD54" s="287"/>
      <c r="AE54" s="287"/>
      <c r="AF54" s="287"/>
      <c r="AG54" s="287"/>
      <c r="AH54" s="337"/>
      <c r="AI54" s="337"/>
      <c r="AJ54" s="337"/>
      <c r="AK54" s="337"/>
      <c r="AL54" s="337"/>
      <c r="AM54" s="338"/>
      <c r="AN54" s="338"/>
      <c r="AO54" s="278">
        <f t="shared" si="18"/>
        <v>26000000</v>
      </c>
    </row>
    <row r="55" spans="1:41" s="217" customFormat="1" ht="22.5" customHeight="1">
      <c r="A55" s="252" t="s">
        <v>60</v>
      </c>
      <c r="B55" s="253" t="s">
        <v>559</v>
      </c>
      <c r="C55" s="254">
        <f t="shared" ref="C55:J55" si="33">SUM(C56:C57)</f>
        <v>0</v>
      </c>
      <c r="D55" s="255">
        <f t="shared" si="33"/>
        <v>0</v>
      </c>
      <c r="E55" s="255">
        <f t="shared" si="33"/>
        <v>0</v>
      </c>
      <c r="F55" s="255">
        <f t="shared" si="33"/>
        <v>0</v>
      </c>
      <c r="G55" s="255">
        <f t="shared" si="33"/>
        <v>0</v>
      </c>
      <c r="H55" s="255">
        <f t="shared" si="33"/>
        <v>0</v>
      </c>
      <c r="I55" s="255">
        <f t="shared" si="33"/>
        <v>0</v>
      </c>
      <c r="J55" s="255">
        <f t="shared" si="33"/>
        <v>0</v>
      </c>
      <c r="K55" s="255">
        <f>SUM(K56:K57)</f>
        <v>0</v>
      </c>
      <c r="L55" s="255">
        <f t="shared" ref="L55:W55" si="34">SUM(L56:L57)</f>
        <v>0</v>
      </c>
      <c r="M55" s="255">
        <f t="shared" si="34"/>
        <v>0</v>
      </c>
      <c r="N55" s="255">
        <f t="shared" si="34"/>
        <v>0</v>
      </c>
      <c r="O55" s="254">
        <f t="shared" si="34"/>
        <v>0</v>
      </c>
      <c r="P55" s="254">
        <f t="shared" si="34"/>
        <v>0</v>
      </c>
      <c r="Q55" s="254">
        <f t="shared" si="34"/>
        <v>0</v>
      </c>
      <c r="R55" s="254">
        <f t="shared" si="34"/>
        <v>0</v>
      </c>
      <c r="S55" s="254">
        <f t="shared" si="34"/>
        <v>0</v>
      </c>
      <c r="T55" s="254">
        <f t="shared" si="34"/>
        <v>0</v>
      </c>
      <c r="U55" s="254">
        <f t="shared" si="34"/>
        <v>0</v>
      </c>
      <c r="V55" s="254">
        <f t="shared" si="34"/>
        <v>0</v>
      </c>
      <c r="W55" s="254">
        <f t="shared" si="34"/>
        <v>0</v>
      </c>
      <c r="X55" s="256">
        <f>SUM(X56:X57)</f>
        <v>0</v>
      </c>
      <c r="Y55" s="256">
        <f t="shared" ref="Y55:AN55" si="35">SUM(Y56:Y57)</f>
        <v>23249100</v>
      </c>
      <c r="Z55" s="256">
        <f t="shared" si="35"/>
        <v>89978600</v>
      </c>
      <c r="AA55" s="256">
        <f t="shared" si="35"/>
        <v>36052363</v>
      </c>
      <c r="AB55" s="287">
        <f t="shared" si="35"/>
        <v>300000000</v>
      </c>
      <c r="AC55" s="287">
        <f t="shared" si="35"/>
        <v>20008100</v>
      </c>
      <c r="AD55" s="287">
        <f t="shared" si="35"/>
        <v>215238100</v>
      </c>
      <c r="AE55" s="287">
        <f t="shared" si="35"/>
        <v>30312000</v>
      </c>
      <c r="AF55" s="287">
        <f t="shared" si="35"/>
        <v>332400000</v>
      </c>
      <c r="AG55" s="287">
        <f t="shared" si="35"/>
        <v>20986970</v>
      </c>
      <c r="AH55" s="287">
        <f t="shared" si="35"/>
        <v>12682800</v>
      </c>
      <c r="AI55" s="287">
        <f t="shared" si="35"/>
        <v>468885000</v>
      </c>
      <c r="AJ55" s="287">
        <f t="shared" si="35"/>
        <v>112720100</v>
      </c>
      <c r="AK55" s="287">
        <f t="shared" si="35"/>
        <v>86698000</v>
      </c>
      <c r="AL55" s="287">
        <f t="shared" si="35"/>
        <v>6228148</v>
      </c>
      <c r="AM55" s="302">
        <f t="shared" si="35"/>
        <v>7584350</v>
      </c>
      <c r="AN55" s="302">
        <f t="shared" si="35"/>
        <v>0</v>
      </c>
      <c r="AO55" s="278">
        <f t="shared" si="18"/>
        <v>1763023631</v>
      </c>
    </row>
    <row r="56" spans="1:41" ht="22.5" customHeight="1">
      <c r="AO56" s="278">
        <f t="shared" si="18"/>
        <v>0</v>
      </c>
    </row>
    <row r="57" spans="1:41" s="269" customFormat="1" ht="22.5" customHeight="1">
      <c r="A57" s="267"/>
      <c r="B57" s="267" t="s">
        <v>387</v>
      </c>
      <c r="C57" s="267"/>
      <c r="D57" s="267"/>
      <c r="E57" s="267"/>
      <c r="F57" s="267"/>
      <c r="G57" s="267"/>
      <c r="H57" s="267"/>
      <c r="I57" s="267"/>
      <c r="J57" s="267"/>
      <c r="K57" s="267"/>
      <c r="L57" s="267"/>
      <c r="M57" s="267"/>
      <c r="N57" s="267"/>
      <c r="O57" s="267"/>
      <c r="P57" s="267"/>
      <c r="Q57" s="267"/>
      <c r="R57" s="267"/>
      <c r="S57" s="267"/>
      <c r="T57" s="267"/>
      <c r="U57" s="267"/>
      <c r="V57" s="267"/>
      <c r="W57" s="267"/>
      <c r="X57" s="268"/>
      <c r="Y57" s="268">
        <f t="shared" ref="Y57:AA58" si="36">+Y49-Y53</f>
        <v>23249100</v>
      </c>
      <c r="Z57" s="268">
        <f t="shared" si="36"/>
        <v>89978600</v>
      </c>
      <c r="AA57" s="268">
        <f t="shared" si="36"/>
        <v>36052363</v>
      </c>
      <c r="AB57" s="268">
        <v>300000000</v>
      </c>
      <c r="AC57" s="268">
        <f>+AC49-AC53</f>
        <v>20008100</v>
      </c>
      <c r="AD57" s="268">
        <f>+AD49-AD53</f>
        <v>215238100</v>
      </c>
      <c r="AE57" s="268">
        <f>+AE49-AE53</f>
        <v>30312000</v>
      </c>
      <c r="AF57" s="268">
        <v>332400000</v>
      </c>
      <c r="AG57" s="268">
        <f t="shared" ref="AG57:AN57" si="37">+AG49-AG53</f>
        <v>20986970</v>
      </c>
      <c r="AH57" s="268">
        <f t="shared" si="37"/>
        <v>12682800</v>
      </c>
      <c r="AI57" s="268">
        <f t="shared" si="37"/>
        <v>468885000</v>
      </c>
      <c r="AJ57" s="268">
        <f t="shared" si="37"/>
        <v>112720100</v>
      </c>
      <c r="AK57" s="268">
        <f t="shared" si="37"/>
        <v>86698000</v>
      </c>
      <c r="AL57" s="268">
        <f t="shared" si="37"/>
        <v>6228148</v>
      </c>
      <c r="AM57" s="268">
        <f t="shared" si="37"/>
        <v>7584350</v>
      </c>
      <c r="AN57" s="268">
        <f t="shared" si="37"/>
        <v>0</v>
      </c>
      <c r="AO57" s="278">
        <f t="shared" si="18"/>
        <v>1763023631</v>
      </c>
    </row>
    <row r="58" spans="1:41" s="269" customFormat="1" ht="22.5" customHeight="1">
      <c r="A58" s="267"/>
      <c r="B58" s="267"/>
      <c r="C58" s="267"/>
      <c r="D58" s="267"/>
      <c r="E58" s="267"/>
      <c r="F58" s="267"/>
      <c r="G58" s="267"/>
      <c r="H58" s="267"/>
      <c r="I58" s="267"/>
      <c r="J58" s="267"/>
      <c r="K58" s="267"/>
      <c r="L58" s="267"/>
      <c r="M58" s="267"/>
      <c r="N58" s="267"/>
      <c r="O58" s="267"/>
      <c r="P58" s="267"/>
      <c r="Q58" s="267"/>
      <c r="R58" s="267"/>
      <c r="S58" s="267"/>
      <c r="T58" s="267"/>
      <c r="U58" s="267"/>
      <c r="V58" s="267"/>
      <c r="W58" s="267"/>
      <c r="X58" s="268"/>
      <c r="Y58" s="268">
        <f t="shared" si="36"/>
        <v>0</v>
      </c>
      <c r="Z58" s="268">
        <f t="shared" si="36"/>
        <v>0</v>
      </c>
      <c r="AA58" s="268">
        <f t="shared" si="36"/>
        <v>28000000</v>
      </c>
      <c r="AB58" s="268">
        <f>+AB49-AB53-AB57</f>
        <v>6913500</v>
      </c>
      <c r="AC58" s="268">
        <f t="shared" ref="AC58:AN58" si="38">+AC49-AC53-AC57</f>
        <v>0</v>
      </c>
      <c r="AD58" s="268">
        <f t="shared" si="38"/>
        <v>0</v>
      </c>
      <c r="AE58" s="268">
        <f t="shared" si="38"/>
        <v>0</v>
      </c>
      <c r="AF58" s="268">
        <f t="shared" si="38"/>
        <v>233590</v>
      </c>
      <c r="AG58" s="268">
        <f t="shared" si="38"/>
        <v>0</v>
      </c>
      <c r="AH58" s="268">
        <f t="shared" si="38"/>
        <v>0</v>
      </c>
      <c r="AI58" s="268">
        <f t="shared" si="38"/>
        <v>0</v>
      </c>
      <c r="AJ58" s="268">
        <f t="shared" si="38"/>
        <v>0</v>
      </c>
      <c r="AK58" s="268">
        <f t="shared" si="38"/>
        <v>0</v>
      </c>
      <c r="AL58" s="268">
        <f t="shared" si="38"/>
        <v>0</v>
      </c>
      <c r="AM58" s="268">
        <f t="shared" si="38"/>
        <v>0</v>
      </c>
      <c r="AN58" s="268">
        <f t="shared" si="38"/>
        <v>0</v>
      </c>
      <c r="AO58" s="278">
        <f t="shared" si="18"/>
        <v>35147090</v>
      </c>
    </row>
    <row r="59" spans="1:41" s="273" customFormat="1" ht="22.5" customHeight="1">
      <c r="A59" s="270"/>
      <c r="B59" s="270" t="s">
        <v>198</v>
      </c>
      <c r="C59" s="270"/>
      <c r="D59" s="270"/>
      <c r="E59" s="270"/>
      <c r="F59" s="270"/>
      <c r="G59" s="270"/>
      <c r="H59" s="270"/>
      <c r="I59" s="270"/>
      <c r="J59" s="270"/>
      <c r="K59" s="270"/>
      <c r="L59" s="270"/>
      <c r="M59" s="270"/>
      <c r="N59" s="270"/>
      <c r="O59" s="270"/>
      <c r="P59" s="270"/>
      <c r="Q59" s="270"/>
      <c r="R59" s="270"/>
      <c r="S59" s="270"/>
      <c r="T59" s="270"/>
      <c r="U59" s="270"/>
      <c r="V59" s="270"/>
      <c r="W59" s="270"/>
      <c r="X59" s="271"/>
      <c r="Y59" s="271"/>
      <c r="Z59" s="271"/>
      <c r="AA59" s="272"/>
      <c r="AB59" s="339">
        <f>+AB50-AB54</f>
        <v>16400000</v>
      </c>
      <c r="AC59" s="339"/>
      <c r="AD59" s="339"/>
      <c r="AE59" s="339"/>
      <c r="AF59" s="339"/>
      <c r="AG59" s="339"/>
      <c r="AH59" s="340"/>
      <c r="AI59" s="340"/>
      <c r="AJ59" s="340"/>
      <c r="AK59" s="340"/>
      <c r="AL59" s="340"/>
      <c r="AM59" s="340"/>
      <c r="AN59" s="340"/>
      <c r="AO59" s="278">
        <f t="shared" si="18"/>
        <v>16400000</v>
      </c>
    </row>
    <row r="60" spans="1:41" s="273" customFormat="1" ht="22.5" customHeight="1">
      <c r="A60" s="270"/>
      <c r="B60" s="270"/>
      <c r="C60" s="270"/>
      <c r="D60" s="270"/>
      <c r="E60" s="270"/>
      <c r="F60" s="270"/>
      <c r="G60" s="270"/>
      <c r="H60" s="270"/>
      <c r="I60" s="270"/>
      <c r="J60" s="270"/>
      <c r="K60" s="270"/>
      <c r="L60" s="270"/>
      <c r="M60" s="270"/>
      <c r="N60" s="270"/>
      <c r="O60" s="270"/>
      <c r="P60" s="270"/>
      <c r="Q60" s="270"/>
      <c r="R60" s="270"/>
      <c r="S60" s="270"/>
      <c r="T60" s="270"/>
      <c r="U60" s="270"/>
      <c r="V60" s="270"/>
      <c r="W60" s="270"/>
      <c r="X60" s="271"/>
      <c r="Y60" s="271"/>
      <c r="Z60" s="271"/>
      <c r="AA60" s="272"/>
      <c r="AB60" s="339"/>
      <c r="AC60" s="339"/>
      <c r="AD60" s="339"/>
      <c r="AE60" s="339"/>
      <c r="AF60" s="339"/>
      <c r="AG60" s="339"/>
      <c r="AH60" s="340"/>
      <c r="AI60" s="340"/>
      <c r="AJ60" s="340"/>
      <c r="AK60" s="340"/>
      <c r="AL60" s="340"/>
      <c r="AM60" s="340"/>
      <c r="AN60" s="340"/>
      <c r="AO60" s="278">
        <f t="shared" si="18"/>
        <v>0</v>
      </c>
    </row>
    <row r="61" spans="1:41" s="273" customFormat="1" ht="22.5" customHeight="1">
      <c r="A61" s="270"/>
      <c r="B61" s="270"/>
      <c r="C61" s="270"/>
      <c r="D61" s="270"/>
      <c r="E61" s="270"/>
      <c r="F61" s="270"/>
      <c r="G61" s="270"/>
      <c r="H61" s="270"/>
      <c r="I61" s="270"/>
      <c r="J61" s="270"/>
      <c r="K61" s="270"/>
      <c r="L61" s="270"/>
      <c r="M61" s="270"/>
      <c r="N61" s="270"/>
      <c r="O61" s="270"/>
      <c r="P61" s="270"/>
      <c r="Q61" s="270"/>
      <c r="R61" s="270"/>
      <c r="S61" s="270"/>
      <c r="T61" s="270"/>
      <c r="U61" s="270"/>
      <c r="V61" s="270"/>
      <c r="W61" s="270"/>
      <c r="X61" s="271"/>
      <c r="Y61" s="271"/>
      <c r="Z61" s="271"/>
      <c r="AA61" s="272"/>
      <c r="AB61" s="339"/>
      <c r="AC61" s="339"/>
      <c r="AD61" s="339"/>
      <c r="AE61" s="339"/>
      <c r="AF61" s="339"/>
      <c r="AG61" s="339"/>
      <c r="AH61" s="340"/>
      <c r="AI61" s="340"/>
      <c r="AJ61" s="340"/>
      <c r="AK61" s="340"/>
      <c r="AL61" s="340"/>
      <c r="AM61" s="340"/>
      <c r="AN61" s="340"/>
    </row>
    <row r="62" spans="1:41" s="273" customFormat="1" ht="22.5" customHeight="1">
      <c r="A62" s="270"/>
      <c r="B62" s="270"/>
      <c r="C62" s="270"/>
      <c r="D62" s="270"/>
      <c r="E62" s="270"/>
      <c r="F62" s="270"/>
      <c r="G62" s="270"/>
      <c r="H62" s="270"/>
      <c r="I62" s="270"/>
      <c r="J62" s="270"/>
      <c r="K62" s="270"/>
      <c r="L62" s="270"/>
      <c r="M62" s="270"/>
      <c r="N62" s="270"/>
      <c r="O62" s="270"/>
      <c r="P62" s="270"/>
      <c r="Q62" s="270"/>
      <c r="R62" s="270"/>
      <c r="S62" s="270"/>
      <c r="T62" s="270"/>
      <c r="U62" s="270"/>
      <c r="V62" s="270"/>
      <c r="W62" s="270"/>
      <c r="X62" s="271"/>
      <c r="Y62" s="271"/>
      <c r="Z62" s="271"/>
      <c r="AA62" s="272"/>
      <c r="AB62" s="339"/>
      <c r="AC62" s="339"/>
      <c r="AD62" s="339"/>
      <c r="AE62" s="339"/>
      <c r="AF62" s="339"/>
      <c r="AG62" s="339"/>
      <c r="AH62" s="340"/>
      <c r="AI62" s="340"/>
      <c r="AJ62" s="340"/>
      <c r="AK62" s="340"/>
      <c r="AL62" s="340"/>
      <c r="AM62" s="340"/>
      <c r="AN62" s="340"/>
    </row>
    <row r="63" spans="1:41" ht="22.5" customHeight="1"/>
    <row r="64" spans="1:41" ht="22.5" customHeight="1"/>
    <row r="65" customFormat="1" ht="22.5" customHeight="1"/>
    <row r="66" customFormat="1" ht="22.5" customHeight="1"/>
    <row r="67" customFormat="1" ht="22.5" customHeight="1"/>
    <row r="68" customFormat="1" ht="22.5" customHeight="1"/>
    <row r="69" customFormat="1" ht="22.5" customHeight="1"/>
    <row r="70" customFormat="1" ht="22.5" customHeight="1"/>
    <row r="71" customFormat="1" ht="22.5" customHeight="1"/>
    <row r="72" customFormat="1" ht="22.5" customHeight="1"/>
    <row r="73" customFormat="1" ht="22.5" customHeight="1"/>
    <row r="74" customFormat="1" ht="22.5" customHeight="1"/>
    <row r="75" customFormat="1" ht="22.5" customHeight="1"/>
    <row r="76" customFormat="1" ht="22.5" customHeight="1"/>
    <row r="77" customFormat="1" ht="22.5" customHeight="1"/>
    <row r="88" customFormat="1"/>
    <row r="89" customFormat="1"/>
    <row r="90" customFormat="1" ht="33" customHeight="1"/>
    <row r="91" customFormat="1" ht="22.5" customHeight="1"/>
    <row r="92" customFormat="1" ht="22.5" customHeight="1"/>
    <row r="93" customFormat="1" ht="36.75" customHeight="1"/>
    <row r="94" customFormat="1" ht="22.5" customHeight="1"/>
    <row r="95" customFormat="1" ht="22.5" customHeight="1"/>
    <row r="96" customFormat="1" ht="40.5" customHeight="1"/>
    <row r="97" customFormat="1" ht="22.5" customHeight="1"/>
    <row r="98" customFormat="1" ht="22.5" customHeight="1"/>
    <row r="99" customFormat="1" ht="22.5" customHeight="1"/>
    <row r="100" customFormat="1" ht="22.5" customHeight="1"/>
    <row r="101" customFormat="1" ht="22.5" customHeight="1"/>
    <row r="102" customFormat="1"/>
    <row r="103" customFormat="1" ht="33" customHeight="1"/>
    <row r="104" customFormat="1" ht="22.5" customHeight="1"/>
    <row r="105" customFormat="1" ht="22.5" customHeight="1"/>
    <row r="106" customFormat="1" ht="37.5" customHeight="1"/>
    <row r="108" customFormat="1" ht="12" customHeight="1"/>
    <row r="109" customFormat="1"/>
    <row r="110" customFormat="1"/>
    <row r="111" customFormat="1"/>
    <row r="112" customFormat="1"/>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6"/>
  <dimension ref="A1:U35"/>
  <sheetViews>
    <sheetView workbookViewId="0">
      <selection activeCell="C9" sqref="C9"/>
    </sheetView>
  </sheetViews>
  <sheetFormatPr defaultColWidth="9.28515625" defaultRowHeight="15"/>
  <cols>
    <col min="1" max="1" width="4.7109375" style="28" customWidth="1"/>
    <col min="2" max="2" width="19.7109375" style="28" customWidth="1"/>
    <col min="3" max="3" width="13.7109375" style="30" customWidth="1"/>
    <col min="4" max="4" width="12.5703125" style="28" customWidth="1"/>
    <col min="5" max="5" width="12.28515625" style="28" customWidth="1"/>
    <col min="6" max="6" width="8.42578125" style="28" customWidth="1"/>
    <col min="7" max="7" width="11.7109375" style="28" customWidth="1"/>
    <col min="8" max="9" width="10.7109375" style="28" customWidth="1"/>
    <col min="10" max="10" width="11.5703125" style="28" customWidth="1"/>
    <col min="11" max="11" width="8" style="28" customWidth="1"/>
    <col min="12" max="12" width="8.28515625" style="28" customWidth="1"/>
    <col min="13" max="13" width="7.7109375" style="28" customWidth="1"/>
    <col min="14" max="15" width="12.28515625" style="28" customWidth="1"/>
    <col min="16" max="16" width="11.42578125" style="31" customWidth="1"/>
    <col min="17" max="17" width="11.7109375" style="31" customWidth="1"/>
    <col min="18" max="18" width="10" style="28" customWidth="1"/>
    <col min="19" max="19" width="9.28515625" style="28" customWidth="1"/>
    <col min="20" max="20" width="7.5703125" style="28" customWidth="1"/>
    <col min="21" max="21" width="14.5703125" style="28" bestFit="1" customWidth="1"/>
    <col min="22" max="16384" width="9.28515625" style="28"/>
  </cols>
  <sheetData>
    <row r="1" spans="1:21" ht="24.75" customHeight="1">
      <c r="A1" s="27" t="str">
        <f>'50'!A1</f>
        <v>UBND XÃ CƯỜNG LỢI</v>
      </c>
      <c r="B1" s="82"/>
      <c r="R1" s="1981" t="s">
        <v>493</v>
      </c>
      <c r="S1" s="1981"/>
      <c r="T1" s="90"/>
    </row>
    <row r="2" spans="1:21" ht="23.25" customHeight="1">
      <c r="A2" s="1814" t="s">
        <v>590</v>
      </c>
      <c r="B2" s="1814"/>
      <c r="C2" s="1814"/>
      <c r="D2" s="1814"/>
      <c r="E2" s="1814"/>
      <c r="F2" s="1814"/>
      <c r="G2" s="1814"/>
      <c r="H2" s="1814"/>
      <c r="I2" s="1814"/>
      <c r="J2" s="1814"/>
      <c r="K2" s="1814"/>
      <c r="L2" s="1814"/>
      <c r="M2" s="1814"/>
      <c r="N2" s="1814"/>
      <c r="O2" s="1814"/>
      <c r="P2" s="1814"/>
      <c r="Q2" s="1814"/>
      <c r="R2" s="1814"/>
      <c r="S2" s="1814"/>
      <c r="T2" s="1814"/>
    </row>
    <row r="3" spans="1:21" ht="15.75">
      <c r="T3" s="84" t="s">
        <v>290</v>
      </c>
    </row>
    <row r="4" spans="1:21" ht="27" customHeight="1">
      <c r="A4" s="1980" t="s">
        <v>291</v>
      </c>
      <c r="B4" s="1980" t="s">
        <v>236</v>
      </c>
      <c r="C4" s="1982" t="s">
        <v>293</v>
      </c>
      <c r="D4" s="1980" t="s">
        <v>136</v>
      </c>
      <c r="E4" s="1980" t="s">
        <v>221</v>
      </c>
      <c r="F4" s="1980" t="s">
        <v>273</v>
      </c>
      <c r="G4" s="1980" t="s">
        <v>274</v>
      </c>
      <c r="H4" s="1980" t="s">
        <v>342</v>
      </c>
      <c r="I4" s="1980" t="s">
        <v>348</v>
      </c>
      <c r="J4" s="1980" t="s">
        <v>349</v>
      </c>
      <c r="K4" s="1980" t="s">
        <v>312</v>
      </c>
      <c r="L4" s="1980" t="s">
        <v>343</v>
      </c>
      <c r="M4" s="1980" t="s">
        <v>350</v>
      </c>
      <c r="N4" s="1980" t="s">
        <v>344</v>
      </c>
      <c r="O4" s="1980" t="s">
        <v>231</v>
      </c>
      <c r="P4" s="1980"/>
      <c r="Q4" s="1815" t="s">
        <v>313</v>
      </c>
      <c r="R4" s="1980" t="s">
        <v>74</v>
      </c>
      <c r="S4" s="1980" t="s">
        <v>314</v>
      </c>
      <c r="T4" s="1980" t="s">
        <v>158</v>
      </c>
    </row>
    <row r="5" spans="1:21" s="81" customFormat="1" ht="74.25" customHeight="1">
      <c r="A5" s="1980"/>
      <c r="B5" s="1980"/>
      <c r="C5" s="1982"/>
      <c r="D5" s="1980"/>
      <c r="E5" s="1980"/>
      <c r="F5" s="1980"/>
      <c r="G5" s="1980"/>
      <c r="H5" s="1980"/>
      <c r="I5" s="1980"/>
      <c r="J5" s="1980"/>
      <c r="K5" s="1980"/>
      <c r="L5" s="1980"/>
      <c r="M5" s="1980"/>
      <c r="N5" s="1980"/>
      <c r="O5" s="368" t="s">
        <v>77</v>
      </c>
      <c r="P5" s="368" t="s">
        <v>121</v>
      </c>
      <c r="Q5" s="1815"/>
      <c r="R5" s="1980"/>
      <c r="S5" s="1980"/>
      <c r="T5" s="1980"/>
    </row>
    <row r="6" spans="1:21" ht="22.5" customHeight="1">
      <c r="A6" s="369" t="s">
        <v>294</v>
      </c>
      <c r="B6" s="369" t="s">
        <v>295</v>
      </c>
      <c r="C6" s="91">
        <v>1</v>
      </c>
      <c r="D6" s="369">
        <v>2</v>
      </c>
      <c r="E6" s="369">
        <v>3</v>
      </c>
      <c r="F6" s="369">
        <v>4</v>
      </c>
      <c r="G6" s="369">
        <v>5</v>
      </c>
      <c r="H6" s="369">
        <v>6</v>
      </c>
      <c r="I6" s="369">
        <v>7</v>
      </c>
      <c r="J6" s="369">
        <v>8</v>
      </c>
      <c r="K6" s="369">
        <v>9</v>
      </c>
      <c r="L6" s="369">
        <v>10</v>
      </c>
      <c r="M6" s="369">
        <v>11</v>
      </c>
      <c r="N6" s="369">
        <v>12</v>
      </c>
      <c r="O6" s="369">
        <v>13</v>
      </c>
      <c r="P6" s="370">
        <v>14</v>
      </c>
      <c r="Q6" s="370">
        <v>15</v>
      </c>
      <c r="R6" s="369">
        <v>16</v>
      </c>
      <c r="S6" s="369">
        <v>17</v>
      </c>
      <c r="T6" s="369" t="s">
        <v>122</v>
      </c>
    </row>
    <row r="7" spans="1:21" ht="30" customHeight="1">
      <c r="A7" s="369"/>
      <c r="B7" s="92" t="s">
        <v>447</v>
      </c>
      <c r="C7" s="93" t="e">
        <f>+C8+C19+C21</f>
        <v>#REF!</v>
      </c>
      <c r="D7" s="93" t="e">
        <f>+D8</f>
        <v>#REF!</v>
      </c>
      <c r="E7" s="93">
        <f t="shared" ref="E7:S7" si="0">+E8</f>
        <v>17330.571179999999</v>
      </c>
      <c r="F7" s="93">
        <f t="shared" si="0"/>
        <v>0</v>
      </c>
      <c r="G7" s="93">
        <f t="shared" si="0"/>
        <v>469.17329999999998</v>
      </c>
      <c r="H7" s="93">
        <f t="shared" si="0"/>
        <v>370.10480000000001</v>
      </c>
      <c r="I7" s="93">
        <f t="shared" si="0"/>
        <v>616.14179999999999</v>
      </c>
      <c r="J7" s="93">
        <f t="shared" si="0"/>
        <v>2785.8462</v>
      </c>
      <c r="K7" s="93">
        <f t="shared" si="0"/>
        <v>0</v>
      </c>
      <c r="L7" s="93">
        <f t="shared" si="0"/>
        <v>0</v>
      </c>
      <c r="M7" s="93">
        <f t="shared" si="0"/>
        <v>0</v>
      </c>
      <c r="N7" s="93">
        <f t="shared" si="0"/>
        <v>31675.597267000001</v>
      </c>
      <c r="O7" s="93">
        <f t="shared" si="0"/>
        <v>13758.458997</v>
      </c>
      <c r="P7" s="93">
        <f t="shared" si="0"/>
        <v>6092.0176999999994</v>
      </c>
      <c r="Q7" s="93">
        <f t="shared" si="0"/>
        <v>2765.2495530000001</v>
      </c>
      <c r="R7" s="93">
        <f t="shared" si="0"/>
        <v>390.4873</v>
      </c>
      <c r="S7" s="93">
        <f t="shared" si="0"/>
        <v>0</v>
      </c>
      <c r="T7" s="89" t="e">
        <f>D7/C7*100</f>
        <v>#REF!</v>
      </c>
      <c r="U7" s="186" t="e">
        <f>+C7-D7</f>
        <v>#REF!</v>
      </c>
    </row>
    <row r="8" spans="1:21" s="341" customFormat="1" ht="36.75" customHeight="1">
      <c r="A8" s="359">
        <v>1</v>
      </c>
      <c r="B8" s="360" t="s">
        <v>241</v>
      </c>
      <c r="C8" s="361" t="e">
        <f t="shared" ref="C8:S8" si="1">SUM(C9:C18)</f>
        <v>#REF!</v>
      </c>
      <c r="D8" s="361" t="e">
        <f t="shared" si="1"/>
        <v>#REF!</v>
      </c>
      <c r="E8" s="361">
        <f t="shared" si="1"/>
        <v>17330.571179999999</v>
      </c>
      <c r="F8" s="361">
        <f t="shared" si="1"/>
        <v>0</v>
      </c>
      <c r="G8" s="361">
        <f t="shared" si="1"/>
        <v>469.17329999999998</v>
      </c>
      <c r="H8" s="361">
        <f t="shared" si="1"/>
        <v>370.10480000000001</v>
      </c>
      <c r="I8" s="361">
        <f t="shared" si="1"/>
        <v>616.14179999999999</v>
      </c>
      <c r="J8" s="361">
        <f t="shared" si="1"/>
        <v>2785.8462</v>
      </c>
      <c r="K8" s="361">
        <f t="shared" si="1"/>
        <v>0</v>
      </c>
      <c r="L8" s="361">
        <f t="shared" si="1"/>
        <v>0</v>
      </c>
      <c r="M8" s="361">
        <f t="shared" si="1"/>
        <v>0</v>
      </c>
      <c r="N8" s="361">
        <f t="shared" si="1"/>
        <v>31675.597267000001</v>
      </c>
      <c r="O8" s="361">
        <f t="shared" si="1"/>
        <v>13758.458997</v>
      </c>
      <c r="P8" s="361">
        <f t="shared" si="1"/>
        <v>6092.0176999999994</v>
      </c>
      <c r="Q8" s="361">
        <f t="shared" si="1"/>
        <v>2765.2495530000001</v>
      </c>
      <c r="R8" s="361">
        <f t="shared" si="1"/>
        <v>390.4873</v>
      </c>
      <c r="S8" s="361">
        <f t="shared" si="1"/>
        <v>0</v>
      </c>
      <c r="T8" s="358" t="e">
        <f t="shared" ref="T8:T21" si="2">+D8/C8*100</f>
        <v>#REF!</v>
      </c>
    </row>
    <row r="9" spans="1:21" s="209" customFormat="1" ht="48" customHeight="1">
      <c r="A9" s="342" t="s">
        <v>243</v>
      </c>
      <c r="B9" s="349" t="s">
        <v>584</v>
      </c>
      <c r="C9" s="95">
        <f>SUM(C10:C11)</f>
        <v>8525.8064400000003</v>
      </c>
      <c r="D9" s="95">
        <f t="shared" ref="D9:R9" si="3">SUM(D10:D11)</f>
        <v>8418.7191000000003</v>
      </c>
      <c r="E9" s="95">
        <f t="shared" si="3"/>
        <v>3318.0663</v>
      </c>
      <c r="F9" s="95">
        <f t="shared" si="3"/>
        <v>0</v>
      </c>
      <c r="G9" s="95">
        <f t="shared" si="3"/>
        <v>0</v>
      </c>
      <c r="H9" s="95">
        <f t="shared" si="3"/>
        <v>0</v>
      </c>
      <c r="I9" s="95">
        <f t="shared" si="3"/>
        <v>308.07089999999999</v>
      </c>
      <c r="J9" s="95">
        <f t="shared" si="3"/>
        <v>334.4502</v>
      </c>
      <c r="K9" s="95">
        <f t="shared" si="3"/>
        <v>0</v>
      </c>
      <c r="L9" s="95">
        <f t="shared" si="3"/>
        <v>0</v>
      </c>
      <c r="M9" s="95">
        <f t="shared" si="3"/>
        <v>0</v>
      </c>
      <c r="N9" s="95">
        <f t="shared" si="3"/>
        <v>4458.1316999999999</v>
      </c>
      <c r="O9" s="95">
        <f t="shared" si="3"/>
        <v>1567.2674999999999</v>
      </c>
      <c r="P9" s="95">
        <f t="shared" si="3"/>
        <v>2890.8642</v>
      </c>
      <c r="Q9" s="95">
        <f t="shared" si="3"/>
        <v>0</v>
      </c>
      <c r="R9" s="95">
        <f t="shared" si="3"/>
        <v>0</v>
      </c>
      <c r="S9" s="348"/>
      <c r="T9" s="195">
        <f t="shared" si="2"/>
        <v>98.743962336541145</v>
      </c>
      <c r="U9" s="350"/>
    </row>
    <row r="10" spans="1:21" s="209" customFormat="1" ht="48" customHeight="1">
      <c r="A10" s="342"/>
      <c r="B10" s="349" t="s">
        <v>668</v>
      </c>
      <c r="C10" s="95">
        <f>12.89+403.2561</f>
        <v>416.14609999999999</v>
      </c>
      <c r="D10" s="347">
        <f>SUM(E10:N10)+SUM(Q10:R10)</f>
        <v>412.98230000000001</v>
      </c>
      <c r="E10" s="347">
        <v>115.55</v>
      </c>
      <c r="F10" s="347"/>
      <c r="G10" s="347"/>
      <c r="H10" s="347"/>
      <c r="I10" s="347">
        <v>15</v>
      </c>
      <c r="J10" s="347">
        <v>29.299199999999999</v>
      </c>
      <c r="K10" s="347"/>
      <c r="L10" s="347"/>
      <c r="M10" s="347"/>
      <c r="N10" s="347">
        <v>253.13310000000001</v>
      </c>
      <c r="O10" s="347">
        <v>92.145899999999997</v>
      </c>
      <c r="P10" s="347">
        <v>160.9872</v>
      </c>
      <c r="Q10" s="347"/>
      <c r="R10" s="347"/>
      <c r="S10" s="348"/>
      <c r="T10" s="195"/>
      <c r="U10" s="350"/>
    </row>
    <row r="11" spans="1:21" s="209" customFormat="1" ht="48" customHeight="1">
      <c r="A11" s="342"/>
      <c r="B11" s="349"/>
      <c r="C11" s="95">
        <f>475.2+7634.46034</f>
        <v>8109.6603399999995</v>
      </c>
      <c r="D11" s="347">
        <f>SUM(E11:N11)+SUM(Q11:R11)</f>
        <v>8005.7367999999997</v>
      </c>
      <c r="E11" s="347">
        <v>3202.5162999999998</v>
      </c>
      <c r="F11" s="347"/>
      <c r="G11" s="347"/>
      <c r="H11" s="347"/>
      <c r="I11" s="347">
        <v>293.07089999999999</v>
      </c>
      <c r="J11" s="347">
        <v>305.15100000000001</v>
      </c>
      <c r="K11" s="347"/>
      <c r="L11" s="347"/>
      <c r="M11" s="347"/>
      <c r="N11" s="347">
        <v>4204.9985999999999</v>
      </c>
      <c r="O11" s="347">
        <v>1475.1215999999999</v>
      </c>
      <c r="P11" s="347">
        <v>2729.877</v>
      </c>
      <c r="Q11" s="347"/>
      <c r="R11" s="347"/>
      <c r="S11" s="348"/>
      <c r="T11" s="195"/>
      <c r="U11" s="350"/>
    </row>
    <row r="12" spans="1:21" s="209" customFormat="1" ht="48" customHeight="1">
      <c r="A12" s="342"/>
      <c r="B12" s="349" t="s">
        <v>669</v>
      </c>
      <c r="C12" s="95">
        <v>900</v>
      </c>
      <c r="D12" s="347">
        <f>SUM(E12:N12)+SUM(Q12:R12)</f>
        <v>879.01319999999998</v>
      </c>
      <c r="E12" s="347"/>
      <c r="F12" s="347"/>
      <c r="G12" s="347"/>
      <c r="H12" s="347"/>
      <c r="I12" s="347"/>
      <c r="J12" s="347"/>
      <c r="K12" s="347"/>
      <c r="L12" s="347"/>
      <c r="M12" s="347"/>
      <c r="N12" s="347">
        <v>879.01319999999998</v>
      </c>
      <c r="O12" s="347">
        <f>+N12</f>
        <v>879.01319999999998</v>
      </c>
      <c r="P12" s="347"/>
      <c r="Q12" s="347"/>
      <c r="R12" s="347"/>
      <c r="S12" s="348"/>
      <c r="T12" s="195"/>
      <c r="U12" s="350"/>
    </row>
    <row r="13" spans="1:21" ht="36" customHeight="1">
      <c r="A13" s="94" t="s">
        <v>243</v>
      </c>
      <c r="B13" s="104" t="s">
        <v>242</v>
      </c>
      <c r="C13" s="95">
        <v>14553</v>
      </c>
      <c r="D13" s="362">
        <f>SUM(E13:N13)+SUM(Q13:R13)</f>
        <v>14708.57258</v>
      </c>
      <c r="E13" s="362">
        <v>5087.2572799999998</v>
      </c>
      <c r="F13" s="362"/>
      <c r="G13" s="362">
        <v>469.17329999999998</v>
      </c>
      <c r="H13" s="362"/>
      <c r="I13" s="362"/>
      <c r="J13" s="362"/>
      <c r="K13" s="362"/>
      <c r="L13" s="362"/>
      <c r="M13" s="362"/>
      <c r="N13" s="362">
        <v>8263.4220000000005</v>
      </c>
      <c r="O13" s="362">
        <v>5185.1293999999998</v>
      </c>
      <c r="P13" s="362">
        <v>5.0921000000000003</v>
      </c>
      <c r="Q13" s="363">
        <v>888.72</v>
      </c>
      <c r="R13" s="362"/>
      <c r="S13" s="364"/>
      <c r="T13" s="195">
        <f t="shared" si="2"/>
        <v>101.06900694014979</v>
      </c>
      <c r="U13" s="76"/>
    </row>
    <row r="14" spans="1:21" s="209" customFormat="1" ht="37.5" customHeight="1">
      <c r="A14" s="342" t="s">
        <v>243</v>
      </c>
      <c r="B14" s="345" t="s">
        <v>442</v>
      </c>
      <c r="C14" s="95" t="e">
        <f>+('CTMT, NV.PB01'!#REF!-400000000)/1000000</f>
        <v>#REF!</v>
      </c>
      <c r="D14" s="347" t="e">
        <f>+'CTMT, NV.PB01'!#REF!/1000000</f>
        <v>#REF!</v>
      </c>
      <c r="E14" s="347">
        <v>1559.59</v>
      </c>
      <c r="F14" s="347"/>
      <c r="G14" s="347"/>
      <c r="H14" s="347"/>
      <c r="I14" s="347"/>
      <c r="J14" s="347"/>
      <c r="K14" s="347"/>
      <c r="L14" s="347"/>
      <c r="M14" s="347"/>
      <c r="N14" s="347">
        <v>8263.4220000000005</v>
      </c>
      <c r="O14" s="347"/>
      <c r="P14" s="347">
        <v>95.429199999999994</v>
      </c>
      <c r="Q14" s="351">
        <v>888.72</v>
      </c>
      <c r="R14" s="347"/>
      <c r="S14" s="348"/>
      <c r="T14" s="195" t="e">
        <f t="shared" si="2"/>
        <v>#REF!</v>
      </c>
    </row>
    <row r="15" spans="1:21" s="209" customFormat="1" ht="37.5" customHeight="1">
      <c r="A15" s="342"/>
      <c r="B15" s="345"/>
      <c r="C15" s="95"/>
      <c r="D15" s="347"/>
      <c r="E15" s="347"/>
      <c r="F15" s="347"/>
      <c r="G15" s="347"/>
      <c r="H15" s="347"/>
      <c r="I15" s="347"/>
      <c r="J15" s="347"/>
      <c r="K15" s="347"/>
      <c r="L15" s="347"/>
      <c r="M15" s="347"/>
      <c r="N15" s="347"/>
      <c r="O15" s="347"/>
      <c r="P15" s="347"/>
      <c r="Q15" s="351"/>
      <c r="R15" s="347"/>
      <c r="S15" s="348"/>
      <c r="T15" s="195"/>
    </row>
    <row r="16" spans="1:21" s="209" customFormat="1" ht="37.5" customHeight="1">
      <c r="A16" s="342"/>
      <c r="B16" s="345"/>
      <c r="C16" s="95"/>
      <c r="D16" s="347"/>
      <c r="E16" s="347"/>
      <c r="F16" s="347"/>
      <c r="G16" s="347"/>
      <c r="H16" s="347"/>
      <c r="I16" s="347"/>
      <c r="J16" s="347"/>
      <c r="K16" s="347"/>
      <c r="L16" s="347"/>
      <c r="M16" s="347"/>
      <c r="N16" s="347"/>
      <c r="O16" s="347"/>
      <c r="P16" s="347"/>
      <c r="Q16" s="351"/>
      <c r="R16" s="347"/>
      <c r="S16" s="348"/>
      <c r="T16" s="195"/>
    </row>
    <row r="17" spans="1:20" s="33" customFormat="1" ht="26.25" customHeight="1">
      <c r="A17" s="73" t="s">
        <v>243</v>
      </c>
      <c r="B17" s="188" t="s">
        <v>637</v>
      </c>
      <c r="C17" s="382">
        <f>+'[5]Biểu 04-QTNĐ, huyện, xã'!$O$153/1000000</f>
        <v>2551.1238130000002</v>
      </c>
      <c r="D17" s="383">
        <f>SUM(E17:N17)+Q17+R17+S17</f>
        <v>2510.9597000000003</v>
      </c>
      <c r="E17" s="49">
        <v>116.9646</v>
      </c>
      <c r="F17" s="49"/>
      <c r="G17" s="49"/>
      <c r="H17" s="49"/>
      <c r="I17" s="49"/>
      <c r="J17" s="49">
        <v>119.4143</v>
      </c>
      <c r="K17" s="49"/>
      <c r="L17" s="49"/>
      <c r="M17" s="49"/>
      <c r="N17" s="49">
        <v>2274.5808000000002</v>
      </c>
      <c r="O17" s="49">
        <v>2179.1516000000001</v>
      </c>
      <c r="P17" s="49">
        <v>95.429199999999994</v>
      </c>
      <c r="Q17" s="49"/>
      <c r="R17" s="49"/>
      <c r="S17" s="48"/>
      <c r="T17" s="384">
        <f t="shared" si="2"/>
        <v>98.425630586985562</v>
      </c>
    </row>
    <row r="18" spans="1:20" s="209" customFormat="1" ht="39" customHeight="1">
      <c r="A18" s="342" t="s">
        <v>243</v>
      </c>
      <c r="B18" s="345" t="s">
        <v>667</v>
      </c>
      <c r="C18" s="346"/>
      <c r="D18" s="352">
        <f>SUM(E18:N18)+Q18+R18+S18</f>
        <v>10755.455720000002</v>
      </c>
      <c r="E18" s="353">
        <v>3930.6266999999998</v>
      </c>
      <c r="F18" s="347"/>
      <c r="G18" s="347"/>
      <c r="H18" s="347">
        <v>370.10480000000001</v>
      </c>
      <c r="I18" s="347"/>
      <c r="J18" s="347">
        <v>1997.5315000000001</v>
      </c>
      <c r="K18" s="347"/>
      <c r="L18" s="347"/>
      <c r="M18" s="347"/>
      <c r="N18" s="347">
        <v>3078.8958670000002</v>
      </c>
      <c r="O18" s="347">
        <v>2380.6297970000001</v>
      </c>
      <c r="P18" s="347">
        <v>114.33880000000001</v>
      </c>
      <c r="Q18" s="347">
        <v>987.80955300000005</v>
      </c>
      <c r="R18" s="347">
        <v>390.4873</v>
      </c>
      <c r="S18" s="348"/>
      <c r="T18" s="195" t="e">
        <f t="shared" si="2"/>
        <v>#DIV/0!</v>
      </c>
    </row>
    <row r="19" spans="1:20" s="82" customFormat="1" ht="24.75" customHeight="1">
      <c r="A19" s="355">
        <v>2</v>
      </c>
      <c r="B19" s="356" t="s">
        <v>157</v>
      </c>
      <c r="C19" s="357" t="e">
        <f>+C20</f>
        <v>#REF!</v>
      </c>
      <c r="D19" s="357" t="e">
        <f t="shared" ref="D19:S21" si="4">+D20</f>
        <v>#REF!</v>
      </c>
      <c r="E19" s="357">
        <f t="shared" si="4"/>
        <v>0</v>
      </c>
      <c r="F19" s="357">
        <f t="shared" si="4"/>
        <v>0</v>
      </c>
      <c r="G19" s="357">
        <f t="shared" si="4"/>
        <v>0</v>
      </c>
      <c r="H19" s="357">
        <f t="shared" si="4"/>
        <v>0</v>
      </c>
      <c r="I19" s="357">
        <f t="shared" si="4"/>
        <v>0</v>
      </c>
      <c r="J19" s="357" t="e">
        <f t="shared" si="4"/>
        <v>#REF!</v>
      </c>
      <c r="K19" s="357">
        <f t="shared" si="4"/>
        <v>0</v>
      </c>
      <c r="L19" s="357">
        <f t="shared" si="4"/>
        <v>0</v>
      </c>
      <c r="M19" s="357">
        <f t="shared" si="4"/>
        <v>0</v>
      </c>
      <c r="N19" s="357">
        <f t="shared" si="4"/>
        <v>0</v>
      </c>
      <c r="O19" s="357">
        <f t="shared" si="4"/>
        <v>0</v>
      </c>
      <c r="P19" s="357">
        <f t="shared" si="4"/>
        <v>0</v>
      </c>
      <c r="Q19" s="357">
        <f t="shared" si="4"/>
        <v>0</v>
      </c>
      <c r="R19" s="357">
        <f t="shared" si="4"/>
        <v>0</v>
      </c>
      <c r="S19" s="357">
        <f t="shared" si="4"/>
        <v>0</v>
      </c>
      <c r="T19" s="358" t="e">
        <f t="shared" si="2"/>
        <v>#REF!</v>
      </c>
    </row>
    <row r="20" spans="1:20" ht="44.25" customHeight="1">
      <c r="A20" s="190" t="s">
        <v>60</v>
      </c>
      <c r="B20" s="344" t="s">
        <v>584</v>
      </c>
      <c r="C20" s="191" t="e">
        <f>+'61'!#REF!</f>
        <v>#REF!</v>
      </c>
      <c r="D20" s="192" t="e">
        <f>SUM(E20:N20)+Q20+R20+S20</f>
        <v>#REF!</v>
      </c>
      <c r="E20" s="193"/>
      <c r="F20" s="194"/>
      <c r="G20" s="194"/>
      <c r="H20" s="194"/>
      <c r="I20" s="194"/>
      <c r="J20" s="194" t="e">
        <f>+'61'!#REF!</f>
        <v>#REF!</v>
      </c>
      <c r="K20" s="194"/>
      <c r="L20" s="194"/>
      <c r="M20" s="194"/>
      <c r="N20" s="194"/>
      <c r="O20" s="194"/>
      <c r="P20" s="194"/>
      <c r="Q20" s="194"/>
      <c r="R20" s="194"/>
      <c r="S20" s="195"/>
      <c r="T20" s="195" t="e">
        <f t="shared" si="2"/>
        <v>#REF!</v>
      </c>
    </row>
    <row r="21" spans="1:20" ht="34.5" customHeight="1">
      <c r="A21" s="94">
        <v>3</v>
      </c>
      <c r="B21" s="343" t="s">
        <v>666</v>
      </c>
      <c r="C21" s="95">
        <f>+C22</f>
        <v>50</v>
      </c>
      <c r="D21" s="95" t="e">
        <f t="shared" si="4"/>
        <v>#REF!</v>
      </c>
      <c r="E21" s="95">
        <f t="shared" si="4"/>
        <v>0</v>
      </c>
      <c r="F21" s="95">
        <f t="shared" si="4"/>
        <v>0</v>
      </c>
      <c r="G21" s="95">
        <f t="shared" si="4"/>
        <v>0</v>
      </c>
      <c r="H21" s="95">
        <f t="shared" si="4"/>
        <v>0</v>
      </c>
      <c r="I21" s="95">
        <f t="shared" si="4"/>
        <v>0</v>
      </c>
      <c r="J21" s="95" t="e">
        <f t="shared" si="4"/>
        <v>#REF!</v>
      </c>
      <c r="K21" s="95">
        <f t="shared" si="4"/>
        <v>0</v>
      </c>
      <c r="L21" s="95">
        <f t="shared" si="4"/>
        <v>0</v>
      </c>
      <c r="M21" s="95">
        <f t="shared" si="4"/>
        <v>0</v>
      </c>
      <c r="N21" s="95">
        <f t="shared" si="4"/>
        <v>0</v>
      </c>
      <c r="O21" s="95">
        <f t="shared" si="4"/>
        <v>0</v>
      </c>
      <c r="P21" s="95">
        <f t="shared" si="4"/>
        <v>0</v>
      </c>
      <c r="Q21" s="95">
        <f t="shared" si="4"/>
        <v>0</v>
      </c>
      <c r="R21" s="95">
        <f t="shared" si="4"/>
        <v>0</v>
      </c>
      <c r="S21" s="95">
        <f t="shared" si="4"/>
        <v>50</v>
      </c>
      <c r="T21" s="195" t="e">
        <f t="shared" si="2"/>
        <v>#REF!</v>
      </c>
    </row>
    <row r="22" spans="1:20" ht="44.25" customHeight="1">
      <c r="A22" s="190" t="s">
        <v>60</v>
      </c>
      <c r="B22" s="104" t="s">
        <v>667</v>
      </c>
      <c r="C22" s="191">
        <v>50</v>
      </c>
      <c r="D22" s="192" t="e">
        <f>SUM(E22:N22)+Q22+R22+S22</f>
        <v>#REF!</v>
      </c>
      <c r="E22" s="193"/>
      <c r="F22" s="194"/>
      <c r="G22" s="194"/>
      <c r="H22" s="194"/>
      <c r="I22" s="194"/>
      <c r="J22" s="194" t="e">
        <f>+'61'!#REF!</f>
        <v>#REF!</v>
      </c>
      <c r="K22" s="194"/>
      <c r="L22" s="194"/>
      <c r="M22" s="194"/>
      <c r="N22" s="194"/>
      <c r="O22" s="194"/>
      <c r="P22" s="194"/>
      <c r="Q22" s="194"/>
      <c r="R22" s="194"/>
      <c r="S22" s="195">
        <v>50</v>
      </c>
      <c r="T22" s="195" t="e">
        <f>+D22/C22*100</f>
        <v>#REF!</v>
      </c>
    </row>
    <row r="23" spans="1:20" ht="19.5" customHeight="1">
      <c r="D23" s="96"/>
      <c r="E23" s="97"/>
      <c r="G23" s="98"/>
      <c r="O23" s="1779" t="s">
        <v>214</v>
      </c>
      <c r="P23" s="1779"/>
      <c r="Q23" s="1779"/>
      <c r="R23" s="1779"/>
      <c r="S23" s="1779"/>
      <c r="T23" s="1779"/>
    </row>
    <row r="24" spans="1:20" ht="19.5" customHeight="1">
      <c r="D24" s="85"/>
      <c r="E24" s="80"/>
      <c r="O24" s="1779" t="s">
        <v>215</v>
      </c>
      <c r="P24" s="1779"/>
      <c r="Q24" s="1779"/>
      <c r="R24" s="1779"/>
      <c r="S24" s="1779"/>
      <c r="T24" s="1779"/>
    </row>
    <row r="25" spans="1:20" ht="15" customHeight="1">
      <c r="D25" s="184"/>
      <c r="E25" s="80"/>
      <c r="O25" s="1778" t="s">
        <v>141</v>
      </c>
      <c r="P25" s="1778"/>
      <c r="Q25" s="1778"/>
      <c r="R25" s="1778"/>
      <c r="S25" s="1778"/>
      <c r="T25" s="1778"/>
    </row>
    <row r="26" spans="1:20" ht="15.75" customHeight="1">
      <c r="D26" s="185">
        <f>+D24-D25</f>
        <v>0</v>
      </c>
      <c r="E26" s="183"/>
      <c r="O26" s="371"/>
      <c r="P26" s="371"/>
      <c r="Q26" s="371"/>
      <c r="R26" s="371"/>
      <c r="S26" s="371"/>
      <c r="T26" s="371"/>
    </row>
    <row r="27" spans="1:20" ht="15.75" customHeight="1">
      <c r="D27" s="183"/>
      <c r="E27" s="183"/>
      <c r="O27" s="371"/>
      <c r="P27" s="371"/>
      <c r="Q27" s="371"/>
      <c r="R27" s="371"/>
      <c r="S27" s="371"/>
      <c r="T27" s="371"/>
    </row>
    <row r="28" spans="1:20" ht="15.75" customHeight="1">
      <c r="D28" s="183"/>
      <c r="E28" s="183"/>
      <c r="O28" s="371"/>
      <c r="P28" s="371"/>
      <c r="Q28" s="371"/>
      <c r="R28" s="371"/>
      <c r="S28" s="371"/>
      <c r="T28" s="371"/>
    </row>
    <row r="29" spans="1:20" ht="12.75" customHeight="1">
      <c r="D29" s="183"/>
      <c r="E29" s="183"/>
      <c r="O29" s="371"/>
      <c r="P29" s="371"/>
      <c r="Q29" s="371"/>
      <c r="R29" s="371"/>
      <c r="S29" s="371"/>
      <c r="T29" s="371"/>
    </row>
    <row r="30" spans="1:20" ht="12.75" customHeight="1">
      <c r="D30" s="183"/>
      <c r="E30" s="183"/>
      <c r="O30" s="371"/>
      <c r="P30" s="371"/>
      <c r="Q30" s="371"/>
      <c r="R30" s="371"/>
      <c r="S30" s="371"/>
      <c r="T30" s="371"/>
    </row>
    <row r="31" spans="1:20" ht="11.25" customHeight="1">
      <c r="O31" s="99"/>
      <c r="P31" s="99"/>
      <c r="Q31" s="100"/>
      <c r="R31" s="101"/>
      <c r="S31" s="101"/>
      <c r="T31" s="99"/>
    </row>
    <row r="32" spans="1:20" ht="18.75">
      <c r="O32" s="1983" t="s">
        <v>613</v>
      </c>
      <c r="P32" s="1983"/>
      <c r="Q32" s="1983"/>
      <c r="R32" s="1983"/>
      <c r="S32" s="1983"/>
      <c r="T32" s="1983"/>
    </row>
    <row r="33" spans="16:19">
      <c r="P33" s="28"/>
      <c r="Q33" s="29"/>
      <c r="R33" s="57"/>
      <c r="S33" s="57"/>
    </row>
    <row r="34" spans="16:19">
      <c r="P34" s="28"/>
      <c r="Q34" s="29"/>
      <c r="R34" s="57"/>
      <c r="S34" s="57"/>
    </row>
    <row r="35" spans="16:19">
      <c r="P35" s="28"/>
      <c r="Q35" s="29"/>
      <c r="R35" s="57"/>
      <c r="S35" s="57"/>
    </row>
  </sheetData>
  <mergeCells count="25">
    <mergeCell ref="O24:T24"/>
    <mergeCell ref="O25:T25"/>
    <mergeCell ref="O32:T32"/>
    <mergeCell ref="O4:P4"/>
    <mergeCell ref="Q4:Q5"/>
    <mergeCell ref="R4:R5"/>
    <mergeCell ref="S4:S5"/>
    <mergeCell ref="T4:T5"/>
    <mergeCell ref="O23:T23"/>
    <mergeCell ref="N4:N5"/>
    <mergeCell ref="R1:S1"/>
    <mergeCell ref="A2:T2"/>
    <mergeCell ref="A4:A5"/>
    <mergeCell ref="B4:B5"/>
    <mergeCell ref="C4:C5"/>
    <mergeCell ref="D4:D5"/>
    <mergeCell ref="E4:E5"/>
    <mergeCell ref="F4:F5"/>
    <mergeCell ref="G4:G5"/>
    <mergeCell ref="H4:H5"/>
    <mergeCell ref="I4:I5"/>
    <mergeCell ref="J4:J5"/>
    <mergeCell ref="K4:K5"/>
    <mergeCell ref="L4:L5"/>
    <mergeCell ref="M4:M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8"/>
  <dimension ref="A1"/>
  <sheetViews>
    <sheetView workbookViewId="0"/>
  </sheetViews>
  <sheetFormatPr defaultRowHeight="1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0"/>
  <dimension ref="A1:T24"/>
  <sheetViews>
    <sheetView workbookViewId="0">
      <selection activeCell="G9" sqref="G9"/>
    </sheetView>
  </sheetViews>
  <sheetFormatPr defaultRowHeight="12.75"/>
  <cols>
    <col min="1" max="1" width="6.42578125" style="412" customWidth="1"/>
    <col min="2" max="2" width="63.28515625" style="412" customWidth="1"/>
    <col min="3" max="4" width="23.7109375" style="412" customWidth="1"/>
    <col min="5" max="5" width="19.7109375" style="412" customWidth="1"/>
    <col min="6" max="9" width="16" style="412" customWidth="1"/>
    <col min="10" max="10" width="16.7109375" style="412" customWidth="1"/>
    <col min="11" max="11" width="18" style="412" customWidth="1"/>
    <col min="12" max="12" width="12.28515625" style="412" customWidth="1"/>
    <col min="13" max="13" width="11.28515625" style="412" customWidth="1"/>
    <col min="14" max="14" width="8.7109375" style="412" customWidth="1"/>
    <col min="15" max="15" width="10.7109375" style="412" customWidth="1"/>
    <col min="16" max="16" width="13" style="412" customWidth="1"/>
    <col min="17" max="256" width="9.28515625" style="412"/>
    <col min="257" max="257" width="6.42578125" style="412" customWidth="1"/>
    <col min="258" max="258" width="63.28515625" style="412" customWidth="1"/>
    <col min="259" max="259" width="21" style="412" customWidth="1"/>
    <col min="260" max="260" width="23.7109375" style="412" customWidth="1"/>
    <col min="261" max="265" width="16" style="412" customWidth="1"/>
    <col min="266" max="266" width="16.7109375" style="412" customWidth="1"/>
    <col min="267" max="267" width="18" style="412" customWidth="1"/>
    <col min="268" max="268" width="12.28515625" style="412" customWidth="1"/>
    <col min="269" max="269" width="11.28515625" style="412" customWidth="1"/>
    <col min="270" max="270" width="8.7109375" style="412" customWidth="1"/>
    <col min="271" max="271" width="10.7109375" style="412" customWidth="1"/>
    <col min="272" max="272" width="13" style="412" customWidth="1"/>
    <col min="273" max="512" width="9.28515625" style="412"/>
    <col min="513" max="513" width="6.42578125" style="412" customWidth="1"/>
    <col min="514" max="514" width="63.28515625" style="412" customWidth="1"/>
    <col min="515" max="515" width="21" style="412" customWidth="1"/>
    <col min="516" max="516" width="23.7109375" style="412" customWidth="1"/>
    <col min="517" max="521" width="16" style="412" customWidth="1"/>
    <col min="522" max="522" width="16.7109375" style="412" customWidth="1"/>
    <col min="523" max="523" width="18" style="412" customWidth="1"/>
    <col min="524" max="524" width="12.28515625" style="412" customWidth="1"/>
    <col min="525" max="525" width="11.28515625" style="412" customWidth="1"/>
    <col min="526" max="526" width="8.7109375" style="412" customWidth="1"/>
    <col min="527" max="527" width="10.7109375" style="412" customWidth="1"/>
    <col min="528" max="528" width="13" style="412" customWidth="1"/>
    <col min="529" max="768" width="9.28515625" style="412"/>
    <col min="769" max="769" width="6.42578125" style="412" customWidth="1"/>
    <col min="770" max="770" width="63.28515625" style="412" customWidth="1"/>
    <col min="771" max="771" width="21" style="412" customWidth="1"/>
    <col min="772" max="772" width="23.7109375" style="412" customWidth="1"/>
    <col min="773" max="777" width="16" style="412" customWidth="1"/>
    <col min="778" max="778" width="16.7109375" style="412" customWidth="1"/>
    <col min="779" max="779" width="18" style="412" customWidth="1"/>
    <col min="780" max="780" width="12.28515625" style="412" customWidth="1"/>
    <col min="781" max="781" width="11.28515625" style="412" customWidth="1"/>
    <col min="782" max="782" width="8.7109375" style="412" customWidth="1"/>
    <col min="783" max="783" width="10.7109375" style="412" customWidth="1"/>
    <col min="784" max="784" width="13" style="412" customWidth="1"/>
    <col min="785" max="1024" width="9.28515625" style="412"/>
    <col min="1025" max="1025" width="6.42578125" style="412" customWidth="1"/>
    <col min="1026" max="1026" width="63.28515625" style="412" customWidth="1"/>
    <col min="1027" max="1027" width="21" style="412" customWidth="1"/>
    <col min="1028" max="1028" width="23.7109375" style="412" customWidth="1"/>
    <col min="1029" max="1033" width="16" style="412" customWidth="1"/>
    <col min="1034" max="1034" width="16.7109375" style="412" customWidth="1"/>
    <col min="1035" max="1035" width="18" style="412" customWidth="1"/>
    <col min="1036" max="1036" width="12.28515625" style="412" customWidth="1"/>
    <col min="1037" max="1037" width="11.28515625" style="412" customWidth="1"/>
    <col min="1038" max="1038" width="8.7109375" style="412" customWidth="1"/>
    <col min="1039" max="1039" width="10.7109375" style="412" customWidth="1"/>
    <col min="1040" max="1040" width="13" style="412" customWidth="1"/>
    <col min="1041" max="1280" width="9.28515625" style="412"/>
    <col min="1281" max="1281" width="6.42578125" style="412" customWidth="1"/>
    <col min="1282" max="1282" width="63.28515625" style="412" customWidth="1"/>
    <col min="1283" max="1283" width="21" style="412" customWidth="1"/>
    <col min="1284" max="1284" width="23.7109375" style="412" customWidth="1"/>
    <col min="1285" max="1289" width="16" style="412" customWidth="1"/>
    <col min="1290" max="1290" width="16.7109375" style="412" customWidth="1"/>
    <col min="1291" max="1291" width="18" style="412" customWidth="1"/>
    <col min="1292" max="1292" width="12.28515625" style="412" customWidth="1"/>
    <col min="1293" max="1293" width="11.28515625" style="412" customWidth="1"/>
    <col min="1294" max="1294" width="8.7109375" style="412" customWidth="1"/>
    <col min="1295" max="1295" width="10.7109375" style="412" customWidth="1"/>
    <col min="1296" max="1296" width="13" style="412" customWidth="1"/>
    <col min="1297" max="1536" width="9.28515625" style="412"/>
    <col min="1537" max="1537" width="6.42578125" style="412" customWidth="1"/>
    <col min="1538" max="1538" width="63.28515625" style="412" customWidth="1"/>
    <col min="1539" max="1539" width="21" style="412" customWidth="1"/>
    <col min="1540" max="1540" width="23.7109375" style="412" customWidth="1"/>
    <col min="1541" max="1545" width="16" style="412" customWidth="1"/>
    <col min="1546" max="1546" width="16.7109375" style="412" customWidth="1"/>
    <col min="1547" max="1547" width="18" style="412" customWidth="1"/>
    <col min="1548" max="1548" width="12.28515625" style="412" customWidth="1"/>
    <col min="1549" max="1549" width="11.28515625" style="412" customWidth="1"/>
    <col min="1550" max="1550" width="8.7109375" style="412" customWidth="1"/>
    <col min="1551" max="1551" width="10.7109375" style="412" customWidth="1"/>
    <col min="1552" max="1552" width="13" style="412" customWidth="1"/>
    <col min="1553" max="1792" width="9.28515625" style="412"/>
    <col min="1793" max="1793" width="6.42578125" style="412" customWidth="1"/>
    <col min="1794" max="1794" width="63.28515625" style="412" customWidth="1"/>
    <col min="1795" max="1795" width="21" style="412" customWidth="1"/>
    <col min="1796" max="1796" width="23.7109375" style="412" customWidth="1"/>
    <col min="1797" max="1801" width="16" style="412" customWidth="1"/>
    <col min="1802" max="1802" width="16.7109375" style="412" customWidth="1"/>
    <col min="1803" max="1803" width="18" style="412" customWidth="1"/>
    <col min="1804" max="1804" width="12.28515625" style="412" customWidth="1"/>
    <col min="1805" max="1805" width="11.28515625" style="412" customWidth="1"/>
    <col min="1806" max="1806" width="8.7109375" style="412" customWidth="1"/>
    <col min="1807" max="1807" width="10.7109375" style="412" customWidth="1"/>
    <col min="1808" max="1808" width="13" style="412" customWidth="1"/>
    <col min="1809" max="2048" width="9.28515625" style="412"/>
    <col min="2049" max="2049" width="6.42578125" style="412" customWidth="1"/>
    <col min="2050" max="2050" width="63.28515625" style="412" customWidth="1"/>
    <col min="2051" max="2051" width="21" style="412" customWidth="1"/>
    <col min="2052" max="2052" width="23.7109375" style="412" customWidth="1"/>
    <col min="2053" max="2057" width="16" style="412" customWidth="1"/>
    <col min="2058" max="2058" width="16.7109375" style="412" customWidth="1"/>
    <col min="2059" max="2059" width="18" style="412" customWidth="1"/>
    <col min="2060" max="2060" width="12.28515625" style="412" customWidth="1"/>
    <col min="2061" max="2061" width="11.28515625" style="412" customWidth="1"/>
    <col min="2062" max="2062" width="8.7109375" style="412" customWidth="1"/>
    <col min="2063" max="2063" width="10.7109375" style="412" customWidth="1"/>
    <col min="2064" max="2064" width="13" style="412" customWidth="1"/>
    <col min="2065" max="2304" width="9.28515625" style="412"/>
    <col min="2305" max="2305" width="6.42578125" style="412" customWidth="1"/>
    <col min="2306" max="2306" width="63.28515625" style="412" customWidth="1"/>
    <col min="2307" max="2307" width="21" style="412" customWidth="1"/>
    <col min="2308" max="2308" width="23.7109375" style="412" customWidth="1"/>
    <col min="2309" max="2313" width="16" style="412" customWidth="1"/>
    <col min="2314" max="2314" width="16.7109375" style="412" customWidth="1"/>
    <col min="2315" max="2315" width="18" style="412" customWidth="1"/>
    <col min="2316" max="2316" width="12.28515625" style="412" customWidth="1"/>
    <col min="2317" max="2317" width="11.28515625" style="412" customWidth="1"/>
    <col min="2318" max="2318" width="8.7109375" style="412" customWidth="1"/>
    <col min="2319" max="2319" width="10.7109375" style="412" customWidth="1"/>
    <col min="2320" max="2320" width="13" style="412" customWidth="1"/>
    <col min="2321" max="2560" width="9.28515625" style="412"/>
    <col min="2561" max="2561" width="6.42578125" style="412" customWidth="1"/>
    <col min="2562" max="2562" width="63.28515625" style="412" customWidth="1"/>
    <col min="2563" max="2563" width="21" style="412" customWidth="1"/>
    <col min="2564" max="2564" width="23.7109375" style="412" customWidth="1"/>
    <col min="2565" max="2569" width="16" style="412" customWidth="1"/>
    <col min="2570" max="2570" width="16.7109375" style="412" customWidth="1"/>
    <col min="2571" max="2571" width="18" style="412" customWidth="1"/>
    <col min="2572" max="2572" width="12.28515625" style="412" customWidth="1"/>
    <col min="2573" max="2573" width="11.28515625" style="412" customWidth="1"/>
    <col min="2574" max="2574" width="8.7109375" style="412" customWidth="1"/>
    <col min="2575" max="2575" width="10.7109375" style="412" customWidth="1"/>
    <col min="2576" max="2576" width="13" style="412" customWidth="1"/>
    <col min="2577" max="2816" width="9.28515625" style="412"/>
    <col min="2817" max="2817" width="6.42578125" style="412" customWidth="1"/>
    <col min="2818" max="2818" width="63.28515625" style="412" customWidth="1"/>
    <col min="2819" max="2819" width="21" style="412" customWidth="1"/>
    <col min="2820" max="2820" width="23.7109375" style="412" customWidth="1"/>
    <col min="2821" max="2825" width="16" style="412" customWidth="1"/>
    <col min="2826" max="2826" width="16.7109375" style="412" customWidth="1"/>
    <col min="2827" max="2827" width="18" style="412" customWidth="1"/>
    <col min="2828" max="2828" width="12.28515625" style="412" customWidth="1"/>
    <col min="2829" max="2829" width="11.28515625" style="412" customWidth="1"/>
    <col min="2830" max="2830" width="8.7109375" style="412" customWidth="1"/>
    <col min="2831" max="2831" width="10.7109375" style="412" customWidth="1"/>
    <col min="2832" max="2832" width="13" style="412" customWidth="1"/>
    <col min="2833" max="3072" width="9.28515625" style="412"/>
    <col min="3073" max="3073" width="6.42578125" style="412" customWidth="1"/>
    <col min="3074" max="3074" width="63.28515625" style="412" customWidth="1"/>
    <col min="3075" max="3075" width="21" style="412" customWidth="1"/>
    <col min="3076" max="3076" width="23.7109375" style="412" customWidth="1"/>
    <col min="3077" max="3081" width="16" style="412" customWidth="1"/>
    <col min="3082" max="3082" width="16.7109375" style="412" customWidth="1"/>
    <col min="3083" max="3083" width="18" style="412" customWidth="1"/>
    <col min="3084" max="3084" width="12.28515625" style="412" customWidth="1"/>
    <col min="3085" max="3085" width="11.28515625" style="412" customWidth="1"/>
    <col min="3086" max="3086" width="8.7109375" style="412" customWidth="1"/>
    <col min="3087" max="3087" width="10.7109375" style="412" customWidth="1"/>
    <col min="3088" max="3088" width="13" style="412" customWidth="1"/>
    <col min="3089" max="3328" width="9.28515625" style="412"/>
    <col min="3329" max="3329" width="6.42578125" style="412" customWidth="1"/>
    <col min="3330" max="3330" width="63.28515625" style="412" customWidth="1"/>
    <col min="3331" max="3331" width="21" style="412" customWidth="1"/>
    <col min="3332" max="3332" width="23.7109375" style="412" customWidth="1"/>
    <col min="3333" max="3337" width="16" style="412" customWidth="1"/>
    <col min="3338" max="3338" width="16.7109375" style="412" customWidth="1"/>
    <col min="3339" max="3339" width="18" style="412" customWidth="1"/>
    <col min="3340" max="3340" width="12.28515625" style="412" customWidth="1"/>
    <col min="3341" max="3341" width="11.28515625" style="412" customWidth="1"/>
    <col min="3342" max="3342" width="8.7109375" style="412" customWidth="1"/>
    <col min="3343" max="3343" width="10.7109375" style="412" customWidth="1"/>
    <col min="3344" max="3344" width="13" style="412" customWidth="1"/>
    <col min="3345" max="3584" width="9.28515625" style="412"/>
    <col min="3585" max="3585" width="6.42578125" style="412" customWidth="1"/>
    <col min="3586" max="3586" width="63.28515625" style="412" customWidth="1"/>
    <col min="3587" max="3587" width="21" style="412" customWidth="1"/>
    <col min="3588" max="3588" width="23.7109375" style="412" customWidth="1"/>
    <col min="3589" max="3593" width="16" style="412" customWidth="1"/>
    <col min="3594" max="3594" width="16.7109375" style="412" customWidth="1"/>
    <col min="3595" max="3595" width="18" style="412" customWidth="1"/>
    <col min="3596" max="3596" width="12.28515625" style="412" customWidth="1"/>
    <col min="3597" max="3597" width="11.28515625" style="412" customWidth="1"/>
    <col min="3598" max="3598" width="8.7109375" style="412" customWidth="1"/>
    <col min="3599" max="3599" width="10.7109375" style="412" customWidth="1"/>
    <col min="3600" max="3600" width="13" style="412" customWidth="1"/>
    <col min="3601" max="3840" width="9.28515625" style="412"/>
    <col min="3841" max="3841" width="6.42578125" style="412" customWidth="1"/>
    <col min="3842" max="3842" width="63.28515625" style="412" customWidth="1"/>
    <col min="3843" max="3843" width="21" style="412" customWidth="1"/>
    <col min="3844" max="3844" width="23.7109375" style="412" customWidth="1"/>
    <col min="3845" max="3849" width="16" style="412" customWidth="1"/>
    <col min="3850" max="3850" width="16.7109375" style="412" customWidth="1"/>
    <col min="3851" max="3851" width="18" style="412" customWidth="1"/>
    <col min="3852" max="3852" width="12.28515625" style="412" customWidth="1"/>
    <col min="3853" max="3853" width="11.28515625" style="412" customWidth="1"/>
    <col min="3854" max="3854" width="8.7109375" style="412" customWidth="1"/>
    <col min="3855" max="3855" width="10.7109375" style="412" customWidth="1"/>
    <col min="3856" max="3856" width="13" style="412" customWidth="1"/>
    <col min="3857" max="4096" width="9.28515625" style="412"/>
    <col min="4097" max="4097" width="6.42578125" style="412" customWidth="1"/>
    <col min="4098" max="4098" width="63.28515625" style="412" customWidth="1"/>
    <col min="4099" max="4099" width="21" style="412" customWidth="1"/>
    <col min="4100" max="4100" width="23.7109375" style="412" customWidth="1"/>
    <col min="4101" max="4105" width="16" style="412" customWidth="1"/>
    <col min="4106" max="4106" width="16.7109375" style="412" customWidth="1"/>
    <col min="4107" max="4107" width="18" style="412" customWidth="1"/>
    <col min="4108" max="4108" width="12.28515625" style="412" customWidth="1"/>
    <col min="4109" max="4109" width="11.28515625" style="412" customWidth="1"/>
    <col min="4110" max="4110" width="8.7109375" style="412" customWidth="1"/>
    <col min="4111" max="4111" width="10.7109375" style="412" customWidth="1"/>
    <col min="4112" max="4112" width="13" style="412" customWidth="1"/>
    <col min="4113" max="4352" width="9.28515625" style="412"/>
    <col min="4353" max="4353" width="6.42578125" style="412" customWidth="1"/>
    <col min="4354" max="4354" width="63.28515625" style="412" customWidth="1"/>
    <col min="4355" max="4355" width="21" style="412" customWidth="1"/>
    <col min="4356" max="4356" width="23.7109375" style="412" customWidth="1"/>
    <col min="4357" max="4361" width="16" style="412" customWidth="1"/>
    <col min="4362" max="4362" width="16.7109375" style="412" customWidth="1"/>
    <col min="4363" max="4363" width="18" style="412" customWidth="1"/>
    <col min="4364" max="4364" width="12.28515625" style="412" customWidth="1"/>
    <col min="4365" max="4365" width="11.28515625" style="412" customWidth="1"/>
    <col min="4366" max="4366" width="8.7109375" style="412" customWidth="1"/>
    <col min="4367" max="4367" width="10.7109375" style="412" customWidth="1"/>
    <col min="4368" max="4368" width="13" style="412" customWidth="1"/>
    <col min="4369" max="4608" width="9.28515625" style="412"/>
    <col min="4609" max="4609" width="6.42578125" style="412" customWidth="1"/>
    <col min="4610" max="4610" width="63.28515625" style="412" customWidth="1"/>
    <col min="4611" max="4611" width="21" style="412" customWidth="1"/>
    <col min="4612" max="4612" width="23.7109375" style="412" customWidth="1"/>
    <col min="4613" max="4617" width="16" style="412" customWidth="1"/>
    <col min="4618" max="4618" width="16.7109375" style="412" customWidth="1"/>
    <col min="4619" max="4619" width="18" style="412" customWidth="1"/>
    <col min="4620" max="4620" width="12.28515625" style="412" customWidth="1"/>
    <col min="4621" max="4621" width="11.28515625" style="412" customWidth="1"/>
    <col min="4622" max="4622" width="8.7109375" style="412" customWidth="1"/>
    <col min="4623" max="4623" width="10.7109375" style="412" customWidth="1"/>
    <col min="4624" max="4624" width="13" style="412" customWidth="1"/>
    <col min="4625" max="4864" width="9.28515625" style="412"/>
    <col min="4865" max="4865" width="6.42578125" style="412" customWidth="1"/>
    <col min="4866" max="4866" width="63.28515625" style="412" customWidth="1"/>
    <col min="4867" max="4867" width="21" style="412" customWidth="1"/>
    <col min="4868" max="4868" width="23.7109375" style="412" customWidth="1"/>
    <col min="4869" max="4873" width="16" style="412" customWidth="1"/>
    <col min="4874" max="4874" width="16.7109375" style="412" customWidth="1"/>
    <col min="4875" max="4875" width="18" style="412" customWidth="1"/>
    <col min="4876" max="4876" width="12.28515625" style="412" customWidth="1"/>
    <col min="4877" max="4877" width="11.28515625" style="412" customWidth="1"/>
    <col min="4878" max="4878" width="8.7109375" style="412" customWidth="1"/>
    <col min="4879" max="4879" width="10.7109375" style="412" customWidth="1"/>
    <col min="4880" max="4880" width="13" style="412" customWidth="1"/>
    <col min="4881" max="5120" width="9.28515625" style="412"/>
    <col min="5121" max="5121" width="6.42578125" style="412" customWidth="1"/>
    <col min="5122" max="5122" width="63.28515625" style="412" customWidth="1"/>
    <col min="5123" max="5123" width="21" style="412" customWidth="1"/>
    <col min="5124" max="5124" width="23.7109375" style="412" customWidth="1"/>
    <col min="5125" max="5129" width="16" style="412" customWidth="1"/>
    <col min="5130" max="5130" width="16.7109375" style="412" customWidth="1"/>
    <col min="5131" max="5131" width="18" style="412" customWidth="1"/>
    <col min="5132" max="5132" width="12.28515625" style="412" customWidth="1"/>
    <col min="5133" max="5133" width="11.28515625" style="412" customWidth="1"/>
    <col min="5134" max="5134" width="8.7109375" style="412" customWidth="1"/>
    <col min="5135" max="5135" width="10.7109375" style="412" customWidth="1"/>
    <col min="5136" max="5136" width="13" style="412" customWidth="1"/>
    <col min="5137" max="5376" width="9.28515625" style="412"/>
    <col min="5377" max="5377" width="6.42578125" style="412" customWidth="1"/>
    <col min="5378" max="5378" width="63.28515625" style="412" customWidth="1"/>
    <col min="5379" max="5379" width="21" style="412" customWidth="1"/>
    <col min="5380" max="5380" width="23.7109375" style="412" customWidth="1"/>
    <col min="5381" max="5385" width="16" style="412" customWidth="1"/>
    <col min="5386" max="5386" width="16.7109375" style="412" customWidth="1"/>
    <col min="5387" max="5387" width="18" style="412" customWidth="1"/>
    <col min="5388" max="5388" width="12.28515625" style="412" customWidth="1"/>
    <col min="5389" max="5389" width="11.28515625" style="412" customWidth="1"/>
    <col min="5390" max="5390" width="8.7109375" style="412" customWidth="1"/>
    <col min="5391" max="5391" width="10.7109375" style="412" customWidth="1"/>
    <col min="5392" max="5392" width="13" style="412" customWidth="1"/>
    <col min="5393" max="5632" width="9.28515625" style="412"/>
    <col min="5633" max="5633" width="6.42578125" style="412" customWidth="1"/>
    <col min="5634" max="5634" width="63.28515625" style="412" customWidth="1"/>
    <col min="5635" max="5635" width="21" style="412" customWidth="1"/>
    <col min="5636" max="5636" width="23.7109375" style="412" customWidth="1"/>
    <col min="5637" max="5641" width="16" style="412" customWidth="1"/>
    <col min="5642" max="5642" width="16.7109375" style="412" customWidth="1"/>
    <col min="5643" max="5643" width="18" style="412" customWidth="1"/>
    <col min="5644" max="5644" width="12.28515625" style="412" customWidth="1"/>
    <col min="5645" max="5645" width="11.28515625" style="412" customWidth="1"/>
    <col min="5646" max="5646" width="8.7109375" style="412" customWidth="1"/>
    <col min="5647" max="5647" width="10.7109375" style="412" customWidth="1"/>
    <col min="5648" max="5648" width="13" style="412" customWidth="1"/>
    <col min="5649" max="5888" width="9.28515625" style="412"/>
    <col min="5889" max="5889" width="6.42578125" style="412" customWidth="1"/>
    <col min="5890" max="5890" width="63.28515625" style="412" customWidth="1"/>
    <col min="5891" max="5891" width="21" style="412" customWidth="1"/>
    <col min="5892" max="5892" width="23.7109375" style="412" customWidth="1"/>
    <col min="5893" max="5897" width="16" style="412" customWidth="1"/>
    <col min="5898" max="5898" width="16.7109375" style="412" customWidth="1"/>
    <col min="5899" max="5899" width="18" style="412" customWidth="1"/>
    <col min="5900" max="5900" width="12.28515625" style="412" customWidth="1"/>
    <col min="5901" max="5901" width="11.28515625" style="412" customWidth="1"/>
    <col min="5902" max="5902" width="8.7109375" style="412" customWidth="1"/>
    <col min="5903" max="5903" width="10.7109375" style="412" customWidth="1"/>
    <col min="5904" max="5904" width="13" style="412" customWidth="1"/>
    <col min="5905" max="6144" width="9.28515625" style="412"/>
    <col min="6145" max="6145" width="6.42578125" style="412" customWidth="1"/>
    <col min="6146" max="6146" width="63.28515625" style="412" customWidth="1"/>
    <col min="6147" max="6147" width="21" style="412" customWidth="1"/>
    <col min="6148" max="6148" width="23.7109375" style="412" customWidth="1"/>
    <col min="6149" max="6153" width="16" style="412" customWidth="1"/>
    <col min="6154" max="6154" width="16.7109375" style="412" customWidth="1"/>
    <col min="6155" max="6155" width="18" style="412" customWidth="1"/>
    <col min="6156" max="6156" width="12.28515625" style="412" customWidth="1"/>
    <col min="6157" max="6157" width="11.28515625" style="412" customWidth="1"/>
    <col min="6158" max="6158" width="8.7109375" style="412" customWidth="1"/>
    <col min="6159" max="6159" width="10.7109375" style="412" customWidth="1"/>
    <col min="6160" max="6160" width="13" style="412" customWidth="1"/>
    <col min="6161" max="6400" width="9.28515625" style="412"/>
    <col min="6401" max="6401" width="6.42578125" style="412" customWidth="1"/>
    <col min="6402" max="6402" width="63.28515625" style="412" customWidth="1"/>
    <col min="6403" max="6403" width="21" style="412" customWidth="1"/>
    <col min="6404" max="6404" width="23.7109375" style="412" customWidth="1"/>
    <col min="6405" max="6409" width="16" style="412" customWidth="1"/>
    <col min="6410" max="6410" width="16.7109375" style="412" customWidth="1"/>
    <col min="6411" max="6411" width="18" style="412" customWidth="1"/>
    <col min="6412" max="6412" width="12.28515625" style="412" customWidth="1"/>
    <col min="6413" max="6413" width="11.28515625" style="412" customWidth="1"/>
    <col min="6414" max="6414" width="8.7109375" style="412" customWidth="1"/>
    <col min="6415" max="6415" width="10.7109375" style="412" customWidth="1"/>
    <col min="6416" max="6416" width="13" style="412" customWidth="1"/>
    <col min="6417" max="6656" width="9.28515625" style="412"/>
    <col min="6657" max="6657" width="6.42578125" style="412" customWidth="1"/>
    <col min="6658" max="6658" width="63.28515625" style="412" customWidth="1"/>
    <col min="6659" max="6659" width="21" style="412" customWidth="1"/>
    <col min="6660" max="6660" width="23.7109375" style="412" customWidth="1"/>
    <col min="6661" max="6665" width="16" style="412" customWidth="1"/>
    <col min="6666" max="6666" width="16.7109375" style="412" customWidth="1"/>
    <col min="6667" max="6667" width="18" style="412" customWidth="1"/>
    <col min="6668" max="6668" width="12.28515625" style="412" customWidth="1"/>
    <col min="6669" max="6669" width="11.28515625" style="412" customWidth="1"/>
    <col min="6670" max="6670" width="8.7109375" style="412" customWidth="1"/>
    <col min="6671" max="6671" width="10.7109375" style="412" customWidth="1"/>
    <col min="6672" max="6672" width="13" style="412" customWidth="1"/>
    <col min="6673" max="6912" width="9.28515625" style="412"/>
    <col min="6913" max="6913" width="6.42578125" style="412" customWidth="1"/>
    <col min="6914" max="6914" width="63.28515625" style="412" customWidth="1"/>
    <col min="6915" max="6915" width="21" style="412" customWidth="1"/>
    <col min="6916" max="6916" width="23.7109375" style="412" customWidth="1"/>
    <col min="6917" max="6921" width="16" style="412" customWidth="1"/>
    <col min="6922" max="6922" width="16.7109375" style="412" customWidth="1"/>
    <col min="6923" max="6923" width="18" style="412" customWidth="1"/>
    <col min="6924" max="6924" width="12.28515625" style="412" customWidth="1"/>
    <col min="6925" max="6925" width="11.28515625" style="412" customWidth="1"/>
    <col min="6926" max="6926" width="8.7109375" style="412" customWidth="1"/>
    <col min="6927" max="6927" width="10.7109375" style="412" customWidth="1"/>
    <col min="6928" max="6928" width="13" style="412" customWidth="1"/>
    <col min="6929" max="7168" width="9.28515625" style="412"/>
    <col min="7169" max="7169" width="6.42578125" style="412" customWidth="1"/>
    <col min="7170" max="7170" width="63.28515625" style="412" customWidth="1"/>
    <col min="7171" max="7171" width="21" style="412" customWidth="1"/>
    <col min="7172" max="7172" width="23.7109375" style="412" customWidth="1"/>
    <col min="7173" max="7177" width="16" style="412" customWidth="1"/>
    <col min="7178" max="7178" width="16.7109375" style="412" customWidth="1"/>
    <col min="7179" max="7179" width="18" style="412" customWidth="1"/>
    <col min="7180" max="7180" width="12.28515625" style="412" customWidth="1"/>
    <col min="7181" max="7181" width="11.28515625" style="412" customWidth="1"/>
    <col min="7182" max="7182" width="8.7109375" style="412" customWidth="1"/>
    <col min="7183" max="7183" width="10.7109375" style="412" customWidth="1"/>
    <col min="7184" max="7184" width="13" style="412" customWidth="1"/>
    <col min="7185" max="7424" width="9.28515625" style="412"/>
    <col min="7425" max="7425" width="6.42578125" style="412" customWidth="1"/>
    <col min="7426" max="7426" width="63.28515625" style="412" customWidth="1"/>
    <col min="7427" max="7427" width="21" style="412" customWidth="1"/>
    <col min="7428" max="7428" width="23.7109375" style="412" customWidth="1"/>
    <col min="7429" max="7433" width="16" style="412" customWidth="1"/>
    <col min="7434" max="7434" width="16.7109375" style="412" customWidth="1"/>
    <col min="7435" max="7435" width="18" style="412" customWidth="1"/>
    <col min="7436" max="7436" width="12.28515625" style="412" customWidth="1"/>
    <col min="7437" max="7437" width="11.28515625" style="412" customWidth="1"/>
    <col min="7438" max="7438" width="8.7109375" style="412" customWidth="1"/>
    <col min="7439" max="7439" width="10.7109375" style="412" customWidth="1"/>
    <col min="7440" max="7440" width="13" style="412" customWidth="1"/>
    <col min="7441" max="7680" width="9.28515625" style="412"/>
    <col min="7681" max="7681" width="6.42578125" style="412" customWidth="1"/>
    <col min="7682" max="7682" width="63.28515625" style="412" customWidth="1"/>
    <col min="7683" max="7683" width="21" style="412" customWidth="1"/>
    <col min="7684" max="7684" width="23.7109375" style="412" customWidth="1"/>
    <col min="7685" max="7689" width="16" style="412" customWidth="1"/>
    <col min="7690" max="7690" width="16.7109375" style="412" customWidth="1"/>
    <col min="7691" max="7691" width="18" style="412" customWidth="1"/>
    <col min="7692" max="7692" width="12.28515625" style="412" customWidth="1"/>
    <col min="7693" max="7693" width="11.28515625" style="412" customWidth="1"/>
    <col min="7694" max="7694" width="8.7109375" style="412" customWidth="1"/>
    <col min="7695" max="7695" width="10.7109375" style="412" customWidth="1"/>
    <col min="7696" max="7696" width="13" style="412" customWidth="1"/>
    <col min="7697" max="7936" width="9.28515625" style="412"/>
    <col min="7937" max="7937" width="6.42578125" style="412" customWidth="1"/>
    <col min="7938" max="7938" width="63.28515625" style="412" customWidth="1"/>
    <col min="7939" max="7939" width="21" style="412" customWidth="1"/>
    <col min="7940" max="7940" width="23.7109375" style="412" customWidth="1"/>
    <col min="7941" max="7945" width="16" style="412" customWidth="1"/>
    <col min="7946" max="7946" width="16.7109375" style="412" customWidth="1"/>
    <col min="7947" max="7947" width="18" style="412" customWidth="1"/>
    <col min="7948" max="7948" width="12.28515625" style="412" customWidth="1"/>
    <col min="7949" max="7949" width="11.28515625" style="412" customWidth="1"/>
    <col min="7950" max="7950" width="8.7109375" style="412" customWidth="1"/>
    <col min="7951" max="7951" width="10.7109375" style="412" customWidth="1"/>
    <col min="7952" max="7952" width="13" style="412" customWidth="1"/>
    <col min="7953" max="8192" width="9.28515625" style="412"/>
    <col min="8193" max="8193" width="6.42578125" style="412" customWidth="1"/>
    <col min="8194" max="8194" width="63.28515625" style="412" customWidth="1"/>
    <col min="8195" max="8195" width="21" style="412" customWidth="1"/>
    <col min="8196" max="8196" width="23.7109375" style="412" customWidth="1"/>
    <col min="8197" max="8201" width="16" style="412" customWidth="1"/>
    <col min="8202" max="8202" width="16.7109375" style="412" customWidth="1"/>
    <col min="8203" max="8203" width="18" style="412" customWidth="1"/>
    <col min="8204" max="8204" width="12.28515625" style="412" customWidth="1"/>
    <col min="8205" max="8205" width="11.28515625" style="412" customWidth="1"/>
    <col min="8206" max="8206" width="8.7109375" style="412" customWidth="1"/>
    <col min="8207" max="8207" width="10.7109375" style="412" customWidth="1"/>
    <col min="8208" max="8208" width="13" style="412" customWidth="1"/>
    <col min="8209" max="8448" width="9.28515625" style="412"/>
    <col min="8449" max="8449" width="6.42578125" style="412" customWidth="1"/>
    <col min="8450" max="8450" width="63.28515625" style="412" customWidth="1"/>
    <col min="8451" max="8451" width="21" style="412" customWidth="1"/>
    <col min="8452" max="8452" width="23.7109375" style="412" customWidth="1"/>
    <col min="8453" max="8457" width="16" style="412" customWidth="1"/>
    <col min="8458" max="8458" width="16.7109375" style="412" customWidth="1"/>
    <col min="8459" max="8459" width="18" style="412" customWidth="1"/>
    <col min="8460" max="8460" width="12.28515625" style="412" customWidth="1"/>
    <col min="8461" max="8461" width="11.28515625" style="412" customWidth="1"/>
    <col min="8462" max="8462" width="8.7109375" style="412" customWidth="1"/>
    <col min="8463" max="8463" width="10.7109375" style="412" customWidth="1"/>
    <col min="8464" max="8464" width="13" style="412" customWidth="1"/>
    <col min="8465" max="8704" width="9.28515625" style="412"/>
    <col min="8705" max="8705" width="6.42578125" style="412" customWidth="1"/>
    <col min="8706" max="8706" width="63.28515625" style="412" customWidth="1"/>
    <col min="8707" max="8707" width="21" style="412" customWidth="1"/>
    <col min="8708" max="8708" width="23.7109375" style="412" customWidth="1"/>
    <col min="8709" max="8713" width="16" style="412" customWidth="1"/>
    <col min="8714" max="8714" width="16.7109375" style="412" customWidth="1"/>
    <col min="8715" max="8715" width="18" style="412" customWidth="1"/>
    <col min="8716" max="8716" width="12.28515625" style="412" customWidth="1"/>
    <col min="8717" max="8717" width="11.28515625" style="412" customWidth="1"/>
    <col min="8718" max="8718" width="8.7109375" style="412" customWidth="1"/>
    <col min="8719" max="8719" width="10.7109375" style="412" customWidth="1"/>
    <col min="8720" max="8720" width="13" style="412" customWidth="1"/>
    <col min="8721" max="8960" width="9.28515625" style="412"/>
    <col min="8961" max="8961" width="6.42578125" style="412" customWidth="1"/>
    <col min="8962" max="8962" width="63.28515625" style="412" customWidth="1"/>
    <col min="8963" max="8963" width="21" style="412" customWidth="1"/>
    <col min="8964" max="8964" width="23.7109375" style="412" customWidth="1"/>
    <col min="8965" max="8969" width="16" style="412" customWidth="1"/>
    <col min="8970" max="8970" width="16.7109375" style="412" customWidth="1"/>
    <col min="8971" max="8971" width="18" style="412" customWidth="1"/>
    <col min="8972" max="8972" width="12.28515625" style="412" customWidth="1"/>
    <col min="8973" max="8973" width="11.28515625" style="412" customWidth="1"/>
    <col min="8974" max="8974" width="8.7109375" style="412" customWidth="1"/>
    <col min="8975" max="8975" width="10.7109375" style="412" customWidth="1"/>
    <col min="8976" max="8976" width="13" style="412" customWidth="1"/>
    <col min="8977" max="9216" width="9.28515625" style="412"/>
    <col min="9217" max="9217" width="6.42578125" style="412" customWidth="1"/>
    <col min="9218" max="9218" width="63.28515625" style="412" customWidth="1"/>
    <col min="9219" max="9219" width="21" style="412" customWidth="1"/>
    <col min="9220" max="9220" width="23.7109375" style="412" customWidth="1"/>
    <col min="9221" max="9225" width="16" style="412" customWidth="1"/>
    <col min="9226" max="9226" width="16.7109375" style="412" customWidth="1"/>
    <col min="9227" max="9227" width="18" style="412" customWidth="1"/>
    <col min="9228" max="9228" width="12.28515625" style="412" customWidth="1"/>
    <col min="9229" max="9229" width="11.28515625" style="412" customWidth="1"/>
    <col min="9230" max="9230" width="8.7109375" style="412" customWidth="1"/>
    <col min="9231" max="9231" width="10.7109375" style="412" customWidth="1"/>
    <col min="9232" max="9232" width="13" style="412" customWidth="1"/>
    <col min="9233" max="9472" width="9.28515625" style="412"/>
    <col min="9473" max="9473" width="6.42578125" style="412" customWidth="1"/>
    <col min="9474" max="9474" width="63.28515625" style="412" customWidth="1"/>
    <col min="9475" max="9475" width="21" style="412" customWidth="1"/>
    <col min="9476" max="9476" width="23.7109375" style="412" customWidth="1"/>
    <col min="9477" max="9481" width="16" style="412" customWidth="1"/>
    <col min="9482" max="9482" width="16.7109375" style="412" customWidth="1"/>
    <col min="9483" max="9483" width="18" style="412" customWidth="1"/>
    <col min="9484" max="9484" width="12.28515625" style="412" customWidth="1"/>
    <col min="9485" max="9485" width="11.28515625" style="412" customWidth="1"/>
    <col min="9486" max="9486" width="8.7109375" style="412" customWidth="1"/>
    <col min="9487" max="9487" width="10.7109375" style="412" customWidth="1"/>
    <col min="9488" max="9488" width="13" style="412" customWidth="1"/>
    <col min="9489" max="9728" width="9.28515625" style="412"/>
    <col min="9729" max="9729" width="6.42578125" style="412" customWidth="1"/>
    <col min="9730" max="9730" width="63.28515625" style="412" customWidth="1"/>
    <col min="9731" max="9731" width="21" style="412" customWidth="1"/>
    <col min="9732" max="9732" width="23.7109375" style="412" customWidth="1"/>
    <col min="9733" max="9737" width="16" style="412" customWidth="1"/>
    <col min="9738" max="9738" width="16.7109375" style="412" customWidth="1"/>
    <col min="9739" max="9739" width="18" style="412" customWidth="1"/>
    <col min="9740" max="9740" width="12.28515625" style="412" customWidth="1"/>
    <col min="9741" max="9741" width="11.28515625" style="412" customWidth="1"/>
    <col min="9742" max="9742" width="8.7109375" style="412" customWidth="1"/>
    <col min="9743" max="9743" width="10.7109375" style="412" customWidth="1"/>
    <col min="9744" max="9744" width="13" style="412" customWidth="1"/>
    <col min="9745" max="9984" width="9.28515625" style="412"/>
    <col min="9985" max="9985" width="6.42578125" style="412" customWidth="1"/>
    <col min="9986" max="9986" width="63.28515625" style="412" customWidth="1"/>
    <col min="9987" max="9987" width="21" style="412" customWidth="1"/>
    <col min="9988" max="9988" width="23.7109375" style="412" customWidth="1"/>
    <col min="9989" max="9993" width="16" style="412" customWidth="1"/>
    <col min="9994" max="9994" width="16.7109375" style="412" customWidth="1"/>
    <col min="9995" max="9995" width="18" style="412" customWidth="1"/>
    <col min="9996" max="9996" width="12.28515625" style="412" customWidth="1"/>
    <col min="9997" max="9997" width="11.28515625" style="412" customWidth="1"/>
    <col min="9998" max="9998" width="8.7109375" style="412" customWidth="1"/>
    <col min="9999" max="9999" width="10.7109375" style="412" customWidth="1"/>
    <col min="10000" max="10000" width="13" style="412" customWidth="1"/>
    <col min="10001" max="10240" width="9.28515625" style="412"/>
    <col min="10241" max="10241" width="6.42578125" style="412" customWidth="1"/>
    <col min="10242" max="10242" width="63.28515625" style="412" customWidth="1"/>
    <col min="10243" max="10243" width="21" style="412" customWidth="1"/>
    <col min="10244" max="10244" width="23.7109375" style="412" customWidth="1"/>
    <col min="10245" max="10249" width="16" style="412" customWidth="1"/>
    <col min="10250" max="10250" width="16.7109375" style="412" customWidth="1"/>
    <col min="10251" max="10251" width="18" style="412" customWidth="1"/>
    <col min="10252" max="10252" width="12.28515625" style="412" customWidth="1"/>
    <col min="10253" max="10253" width="11.28515625" style="412" customWidth="1"/>
    <col min="10254" max="10254" width="8.7109375" style="412" customWidth="1"/>
    <col min="10255" max="10255" width="10.7109375" style="412" customWidth="1"/>
    <col min="10256" max="10256" width="13" style="412" customWidth="1"/>
    <col min="10257" max="10496" width="9.28515625" style="412"/>
    <col min="10497" max="10497" width="6.42578125" style="412" customWidth="1"/>
    <col min="10498" max="10498" width="63.28515625" style="412" customWidth="1"/>
    <col min="10499" max="10499" width="21" style="412" customWidth="1"/>
    <col min="10500" max="10500" width="23.7109375" style="412" customWidth="1"/>
    <col min="10501" max="10505" width="16" style="412" customWidth="1"/>
    <col min="10506" max="10506" width="16.7109375" style="412" customWidth="1"/>
    <col min="10507" max="10507" width="18" style="412" customWidth="1"/>
    <col min="10508" max="10508" width="12.28515625" style="412" customWidth="1"/>
    <col min="10509" max="10509" width="11.28515625" style="412" customWidth="1"/>
    <col min="10510" max="10510" width="8.7109375" style="412" customWidth="1"/>
    <col min="10511" max="10511" width="10.7109375" style="412" customWidth="1"/>
    <col min="10512" max="10512" width="13" style="412" customWidth="1"/>
    <col min="10513" max="10752" width="9.28515625" style="412"/>
    <col min="10753" max="10753" width="6.42578125" style="412" customWidth="1"/>
    <col min="10754" max="10754" width="63.28515625" style="412" customWidth="1"/>
    <col min="10755" max="10755" width="21" style="412" customWidth="1"/>
    <col min="10756" max="10756" width="23.7109375" style="412" customWidth="1"/>
    <col min="10757" max="10761" width="16" style="412" customWidth="1"/>
    <col min="10762" max="10762" width="16.7109375" style="412" customWidth="1"/>
    <col min="10763" max="10763" width="18" style="412" customWidth="1"/>
    <col min="10764" max="10764" width="12.28515625" style="412" customWidth="1"/>
    <col min="10765" max="10765" width="11.28515625" style="412" customWidth="1"/>
    <col min="10766" max="10766" width="8.7109375" style="412" customWidth="1"/>
    <col min="10767" max="10767" width="10.7109375" style="412" customWidth="1"/>
    <col min="10768" max="10768" width="13" style="412" customWidth="1"/>
    <col min="10769" max="11008" width="9.28515625" style="412"/>
    <col min="11009" max="11009" width="6.42578125" style="412" customWidth="1"/>
    <col min="11010" max="11010" width="63.28515625" style="412" customWidth="1"/>
    <col min="11011" max="11011" width="21" style="412" customWidth="1"/>
    <col min="11012" max="11012" width="23.7109375" style="412" customWidth="1"/>
    <col min="11013" max="11017" width="16" style="412" customWidth="1"/>
    <col min="11018" max="11018" width="16.7109375" style="412" customWidth="1"/>
    <col min="11019" max="11019" width="18" style="412" customWidth="1"/>
    <col min="11020" max="11020" width="12.28515625" style="412" customWidth="1"/>
    <col min="11021" max="11021" width="11.28515625" style="412" customWidth="1"/>
    <col min="11022" max="11022" width="8.7109375" style="412" customWidth="1"/>
    <col min="11023" max="11023" width="10.7109375" style="412" customWidth="1"/>
    <col min="11024" max="11024" width="13" style="412" customWidth="1"/>
    <col min="11025" max="11264" width="9.28515625" style="412"/>
    <col min="11265" max="11265" width="6.42578125" style="412" customWidth="1"/>
    <col min="11266" max="11266" width="63.28515625" style="412" customWidth="1"/>
    <col min="11267" max="11267" width="21" style="412" customWidth="1"/>
    <col min="11268" max="11268" width="23.7109375" style="412" customWidth="1"/>
    <col min="11269" max="11273" width="16" style="412" customWidth="1"/>
    <col min="11274" max="11274" width="16.7109375" style="412" customWidth="1"/>
    <col min="11275" max="11275" width="18" style="412" customWidth="1"/>
    <col min="11276" max="11276" width="12.28515625" style="412" customWidth="1"/>
    <col min="11277" max="11277" width="11.28515625" style="412" customWidth="1"/>
    <col min="11278" max="11278" width="8.7109375" style="412" customWidth="1"/>
    <col min="11279" max="11279" width="10.7109375" style="412" customWidth="1"/>
    <col min="11280" max="11280" width="13" style="412" customWidth="1"/>
    <col min="11281" max="11520" width="9.28515625" style="412"/>
    <col min="11521" max="11521" width="6.42578125" style="412" customWidth="1"/>
    <col min="11522" max="11522" width="63.28515625" style="412" customWidth="1"/>
    <col min="11523" max="11523" width="21" style="412" customWidth="1"/>
    <col min="11524" max="11524" width="23.7109375" style="412" customWidth="1"/>
    <col min="11525" max="11529" width="16" style="412" customWidth="1"/>
    <col min="11530" max="11530" width="16.7109375" style="412" customWidth="1"/>
    <col min="11531" max="11531" width="18" style="412" customWidth="1"/>
    <col min="11532" max="11532" width="12.28515625" style="412" customWidth="1"/>
    <col min="11533" max="11533" width="11.28515625" style="412" customWidth="1"/>
    <col min="11534" max="11534" width="8.7109375" style="412" customWidth="1"/>
    <col min="11535" max="11535" width="10.7109375" style="412" customWidth="1"/>
    <col min="11536" max="11536" width="13" style="412" customWidth="1"/>
    <col min="11537" max="11776" width="9.28515625" style="412"/>
    <col min="11777" max="11777" width="6.42578125" style="412" customWidth="1"/>
    <col min="11778" max="11778" width="63.28515625" style="412" customWidth="1"/>
    <col min="11779" max="11779" width="21" style="412" customWidth="1"/>
    <col min="11780" max="11780" width="23.7109375" style="412" customWidth="1"/>
    <col min="11781" max="11785" width="16" style="412" customWidth="1"/>
    <col min="11786" max="11786" width="16.7109375" style="412" customWidth="1"/>
    <col min="11787" max="11787" width="18" style="412" customWidth="1"/>
    <col min="11788" max="11788" width="12.28515625" style="412" customWidth="1"/>
    <col min="11789" max="11789" width="11.28515625" style="412" customWidth="1"/>
    <col min="11790" max="11790" width="8.7109375" style="412" customWidth="1"/>
    <col min="11791" max="11791" width="10.7109375" style="412" customWidth="1"/>
    <col min="11792" max="11792" width="13" style="412" customWidth="1"/>
    <col min="11793" max="12032" width="9.28515625" style="412"/>
    <col min="12033" max="12033" width="6.42578125" style="412" customWidth="1"/>
    <col min="12034" max="12034" width="63.28515625" style="412" customWidth="1"/>
    <col min="12035" max="12035" width="21" style="412" customWidth="1"/>
    <col min="12036" max="12036" width="23.7109375" style="412" customWidth="1"/>
    <col min="12037" max="12041" width="16" style="412" customWidth="1"/>
    <col min="12042" max="12042" width="16.7109375" style="412" customWidth="1"/>
    <col min="12043" max="12043" width="18" style="412" customWidth="1"/>
    <col min="12044" max="12044" width="12.28515625" style="412" customWidth="1"/>
    <col min="12045" max="12045" width="11.28515625" style="412" customWidth="1"/>
    <col min="12046" max="12046" width="8.7109375" style="412" customWidth="1"/>
    <col min="12047" max="12047" width="10.7109375" style="412" customWidth="1"/>
    <col min="12048" max="12048" width="13" style="412" customWidth="1"/>
    <col min="12049" max="12288" width="9.28515625" style="412"/>
    <col min="12289" max="12289" width="6.42578125" style="412" customWidth="1"/>
    <col min="12290" max="12290" width="63.28515625" style="412" customWidth="1"/>
    <col min="12291" max="12291" width="21" style="412" customWidth="1"/>
    <col min="12292" max="12292" width="23.7109375" style="412" customWidth="1"/>
    <col min="12293" max="12297" width="16" style="412" customWidth="1"/>
    <col min="12298" max="12298" width="16.7109375" style="412" customWidth="1"/>
    <col min="12299" max="12299" width="18" style="412" customWidth="1"/>
    <col min="12300" max="12300" width="12.28515625" style="412" customWidth="1"/>
    <col min="12301" max="12301" width="11.28515625" style="412" customWidth="1"/>
    <col min="12302" max="12302" width="8.7109375" style="412" customWidth="1"/>
    <col min="12303" max="12303" width="10.7109375" style="412" customWidth="1"/>
    <col min="12304" max="12304" width="13" style="412" customWidth="1"/>
    <col min="12305" max="12544" width="9.28515625" style="412"/>
    <col min="12545" max="12545" width="6.42578125" style="412" customWidth="1"/>
    <col min="12546" max="12546" width="63.28515625" style="412" customWidth="1"/>
    <col min="12547" max="12547" width="21" style="412" customWidth="1"/>
    <col min="12548" max="12548" width="23.7109375" style="412" customWidth="1"/>
    <col min="12549" max="12553" width="16" style="412" customWidth="1"/>
    <col min="12554" max="12554" width="16.7109375" style="412" customWidth="1"/>
    <col min="12555" max="12555" width="18" style="412" customWidth="1"/>
    <col min="12556" max="12556" width="12.28515625" style="412" customWidth="1"/>
    <col min="12557" max="12557" width="11.28515625" style="412" customWidth="1"/>
    <col min="12558" max="12558" width="8.7109375" style="412" customWidth="1"/>
    <col min="12559" max="12559" width="10.7109375" style="412" customWidth="1"/>
    <col min="12560" max="12560" width="13" style="412" customWidth="1"/>
    <col min="12561" max="12800" width="9.28515625" style="412"/>
    <col min="12801" max="12801" width="6.42578125" style="412" customWidth="1"/>
    <col min="12802" max="12802" width="63.28515625" style="412" customWidth="1"/>
    <col min="12803" max="12803" width="21" style="412" customWidth="1"/>
    <col min="12804" max="12804" width="23.7109375" style="412" customWidth="1"/>
    <col min="12805" max="12809" width="16" style="412" customWidth="1"/>
    <col min="12810" max="12810" width="16.7109375" style="412" customWidth="1"/>
    <col min="12811" max="12811" width="18" style="412" customWidth="1"/>
    <col min="12812" max="12812" width="12.28515625" style="412" customWidth="1"/>
    <col min="12813" max="12813" width="11.28515625" style="412" customWidth="1"/>
    <col min="12814" max="12814" width="8.7109375" style="412" customWidth="1"/>
    <col min="12815" max="12815" width="10.7109375" style="412" customWidth="1"/>
    <col min="12816" max="12816" width="13" style="412" customWidth="1"/>
    <col min="12817" max="13056" width="9.28515625" style="412"/>
    <col min="13057" max="13057" width="6.42578125" style="412" customWidth="1"/>
    <col min="13058" max="13058" width="63.28515625" style="412" customWidth="1"/>
    <col min="13059" max="13059" width="21" style="412" customWidth="1"/>
    <col min="13060" max="13060" width="23.7109375" style="412" customWidth="1"/>
    <col min="13061" max="13065" width="16" style="412" customWidth="1"/>
    <col min="13066" max="13066" width="16.7109375" style="412" customWidth="1"/>
    <col min="13067" max="13067" width="18" style="412" customWidth="1"/>
    <col min="13068" max="13068" width="12.28515625" style="412" customWidth="1"/>
    <col min="13069" max="13069" width="11.28515625" style="412" customWidth="1"/>
    <col min="13070" max="13070" width="8.7109375" style="412" customWidth="1"/>
    <col min="13071" max="13071" width="10.7109375" style="412" customWidth="1"/>
    <col min="13072" max="13072" width="13" style="412" customWidth="1"/>
    <col min="13073" max="13312" width="9.28515625" style="412"/>
    <col min="13313" max="13313" width="6.42578125" style="412" customWidth="1"/>
    <col min="13314" max="13314" width="63.28515625" style="412" customWidth="1"/>
    <col min="13315" max="13315" width="21" style="412" customWidth="1"/>
    <col min="13316" max="13316" width="23.7109375" style="412" customWidth="1"/>
    <col min="13317" max="13321" width="16" style="412" customWidth="1"/>
    <col min="13322" max="13322" width="16.7109375" style="412" customWidth="1"/>
    <col min="13323" max="13323" width="18" style="412" customWidth="1"/>
    <col min="13324" max="13324" width="12.28515625" style="412" customWidth="1"/>
    <col min="13325" max="13325" width="11.28515625" style="412" customWidth="1"/>
    <col min="13326" max="13326" width="8.7109375" style="412" customWidth="1"/>
    <col min="13327" max="13327" width="10.7109375" style="412" customWidth="1"/>
    <col min="13328" max="13328" width="13" style="412" customWidth="1"/>
    <col min="13329" max="13568" width="9.28515625" style="412"/>
    <col min="13569" max="13569" width="6.42578125" style="412" customWidth="1"/>
    <col min="13570" max="13570" width="63.28515625" style="412" customWidth="1"/>
    <col min="13571" max="13571" width="21" style="412" customWidth="1"/>
    <col min="13572" max="13572" width="23.7109375" style="412" customWidth="1"/>
    <col min="13573" max="13577" width="16" style="412" customWidth="1"/>
    <col min="13578" max="13578" width="16.7109375" style="412" customWidth="1"/>
    <col min="13579" max="13579" width="18" style="412" customWidth="1"/>
    <col min="13580" max="13580" width="12.28515625" style="412" customWidth="1"/>
    <col min="13581" max="13581" width="11.28515625" style="412" customWidth="1"/>
    <col min="13582" max="13582" width="8.7109375" style="412" customWidth="1"/>
    <col min="13583" max="13583" width="10.7109375" style="412" customWidth="1"/>
    <col min="13584" max="13584" width="13" style="412" customWidth="1"/>
    <col min="13585" max="13824" width="9.28515625" style="412"/>
    <col min="13825" max="13825" width="6.42578125" style="412" customWidth="1"/>
    <col min="13826" max="13826" width="63.28515625" style="412" customWidth="1"/>
    <col min="13827" max="13827" width="21" style="412" customWidth="1"/>
    <col min="13828" max="13828" width="23.7109375" style="412" customWidth="1"/>
    <col min="13829" max="13833" width="16" style="412" customWidth="1"/>
    <col min="13834" max="13834" width="16.7109375" style="412" customWidth="1"/>
    <col min="13835" max="13835" width="18" style="412" customWidth="1"/>
    <col min="13836" max="13836" width="12.28515625" style="412" customWidth="1"/>
    <col min="13837" max="13837" width="11.28515625" style="412" customWidth="1"/>
    <col min="13838" max="13838" width="8.7109375" style="412" customWidth="1"/>
    <col min="13839" max="13839" width="10.7109375" style="412" customWidth="1"/>
    <col min="13840" max="13840" width="13" style="412" customWidth="1"/>
    <col min="13841" max="14080" width="9.28515625" style="412"/>
    <col min="14081" max="14081" width="6.42578125" style="412" customWidth="1"/>
    <col min="14082" max="14082" width="63.28515625" style="412" customWidth="1"/>
    <col min="14083" max="14083" width="21" style="412" customWidth="1"/>
    <col min="14084" max="14084" width="23.7109375" style="412" customWidth="1"/>
    <col min="14085" max="14089" width="16" style="412" customWidth="1"/>
    <col min="14090" max="14090" width="16.7109375" style="412" customWidth="1"/>
    <col min="14091" max="14091" width="18" style="412" customWidth="1"/>
    <col min="14092" max="14092" width="12.28515625" style="412" customWidth="1"/>
    <col min="14093" max="14093" width="11.28515625" style="412" customWidth="1"/>
    <col min="14094" max="14094" width="8.7109375" style="412" customWidth="1"/>
    <col min="14095" max="14095" width="10.7109375" style="412" customWidth="1"/>
    <col min="14096" max="14096" width="13" style="412" customWidth="1"/>
    <col min="14097" max="14336" width="9.28515625" style="412"/>
    <col min="14337" max="14337" width="6.42578125" style="412" customWidth="1"/>
    <col min="14338" max="14338" width="63.28515625" style="412" customWidth="1"/>
    <col min="14339" max="14339" width="21" style="412" customWidth="1"/>
    <col min="14340" max="14340" width="23.7109375" style="412" customWidth="1"/>
    <col min="14341" max="14345" width="16" style="412" customWidth="1"/>
    <col min="14346" max="14346" width="16.7109375" style="412" customWidth="1"/>
    <col min="14347" max="14347" width="18" style="412" customWidth="1"/>
    <col min="14348" max="14348" width="12.28515625" style="412" customWidth="1"/>
    <col min="14349" max="14349" width="11.28515625" style="412" customWidth="1"/>
    <col min="14350" max="14350" width="8.7109375" style="412" customWidth="1"/>
    <col min="14351" max="14351" width="10.7109375" style="412" customWidth="1"/>
    <col min="14352" max="14352" width="13" style="412" customWidth="1"/>
    <col min="14353" max="14592" width="9.28515625" style="412"/>
    <col min="14593" max="14593" width="6.42578125" style="412" customWidth="1"/>
    <col min="14594" max="14594" width="63.28515625" style="412" customWidth="1"/>
    <col min="14595" max="14595" width="21" style="412" customWidth="1"/>
    <col min="14596" max="14596" width="23.7109375" style="412" customWidth="1"/>
    <col min="14597" max="14601" width="16" style="412" customWidth="1"/>
    <col min="14602" max="14602" width="16.7109375" style="412" customWidth="1"/>
    <col min="14603" max="14603" width="18" style="412" customWidth="1"/>
    <col min="14604" max="14604" width="12.28515625" style="412" customWidth="1"/>
    <col min="14605" max="14605" width="11.28515625" style="412" customWidth="1"/>
    <col min="14606" max="14606" width="8.7109375" style="412" customWidth="1"/>
    <col min="14607" max="14607" width="10.7109375" style="412" customWidth="1"/>
    <col min="14608" max="14608" width="13" style="412" customWidth="1"/>
    <col min="14609" max="14848" width="9.28515625" style="412"/>
    <col min="14849" max="14849" width="6.42578125" style="412" customWidth="1"/>
    <col min="14850" max="14850" width="63.28515625" style="412" customWidth="1"/>
    <col min="14851" max="14851" width="21" style="412" customWidth="1"/>
    <col min="14852" max="14852" width="23.7109375" style="412" customWidth="1"/>
    <col min="14853" max="14857" width="16" style="412" customWidth="1"/>
    <col min="14858" max="14858" width="16.7109375" style="412" customWidth="1"/>
    <col min="14859" max="14859" width="18" style="412" customWidth="1"/>
    <col min="14860" max="14860" width="12.28515625" style="412" customWidth="1"/>
    <col min="14861" max="14861" width="11.28515625" style="412" customWidth="1"/>
    <col min="14862" max="14862" width="8.7109375" style="412" customWidth="1"/>
    <col min="14863" max="14863" width="10.7109375" style="412" customWidth="1"/>
    <col min="14864" max="14864" width="13" style="412" customWidth="1"/>
    <col min="14865" max="15104" width="9.28515625" style="412"/>
    <col min="15105" max="15105" width="6.42578125" style="412" customWidth="1"/>
    <col min="15106" max="15106" width="63.28515625" style="412" customWidth="1"/>
    <col min="15107" max="15107" width="21" style="412" customWidth="1"/>
    <col min="15108" max="15108" width="23.7109375" style="412" customWidth="1"/>
    <col min="15109" max="15113" width="16" style="412" customWidth="1"/>
    <col min="15114" max="15114" width="16.7109375" style="412" customWidth="1"/>
    <col min="15115" max="15115" width="18" style="412" customWidth="1"/>
    <col min="15116" max="15116" width="12.28515625" style="412" customWidth="1"/>
    <col min="15117" max="15117" width="11.28515625" style="412" customWidth="1"/>
    <col min="15118" max="15118" width="8.7109375" style="412" customWidth="1"/>
    <col min="15119" max="15119" width="10.7109375" style="412" customWidth="1"/>
    <col min="15120" max="15120" width="13" style="412" customWidth="1"/>
    <col min="15121" max="15360" width="9.28515625" style="412"/>
    <col min="15361" max="15361" width="6.42578125" style="412" customWidth="1"/>
    <col min="15362" max="15362" width="63.28515625" style="412" customWidth="1"/>
    <col min="15363" max="15363" width="21" style="412" customWidth="1"/>
    <col min="15364" max="15364" width="23.7109375" style="412" customWidth="1"/>
    <col min="15365" max="15369" width="16" style="412" customWidth="1"/>
    <col min="15370" max="15370" width="16.7109375" style="412" customWidth="1"/>
    <col min="15371" max="15371" width="18" style="412" customWidth="1"/>
    <col min="15372" max="15372" width="12.28515625" style="412" customWidth="1"/>
    <col min="15373" max="15373" width="11.28515625" style="412" customWidth="1"/>
    <col min="15374" max="15374" width="8.7109375" style="412" customWidth="1"/>
    <col min="15375" max="15375" width="10.7109375" style="412" customWidth="1"/>
    <col min="15376" max="15376" width="13" style="412" customWidth="1"/>
    <col min="15377" max="15616" width="9.28515625" style="412"/>
    <col min="15617" max="15617" width="6.42578125" style="412" customWidth="1"/>
    <col min="15618" max="15618" width="63.28515625" style="412" customWidth="1"/>
    <col min="15619" max="15619" width="21" style="412" customWidth="1"/>
    <col min="15620" max="15620" width="23.7109375" style="412" customWidth="1"/>
    <col min="15621" max="15625" width="16" style="412" customWidth="1"/>
    <col min="15626" max="15626" width="16.7109375" style="412" customWidth="1"/>
    <col min="15627" max="15627" width="18" style="412" customWidth="1"/>
    <col min="15628" max="15628" width="12.28515625" style="412" customWidth="1"/>
    <col min="15629" max="15629" width="11.28515625" style="412" customWidth="1"/>
    <col min="15630" max="15630" width="8.7109375" style="412" customWidth="1"/>
    <col min="15631" max="15631" width="10.7109375" style="412" customWidth="1"/>
    <col min="15632" max="15632" width="13" style="412" customWidth="1"/>
    <col min="15633" max="15872" width="9.28515625" style="412"/>
    <col min="15873" max="15873" width="6.42578125" style="412" customWidth="1"/>
    <col min="15874" max="15874" width="63.28515625" style="412" customWidth="1"/>
    <col min="15875" max="15875" width="21" style="412" customWidth="1"/>
    <col min="15876" max="15876" width="23.7109375" style="412" customWidth="1"/>
    <col min="15877" max="15881" width="16" style="412" customWidth="1"/>
    <col min="15882" max="15882" width="16.7109375" style="412" customWidth="1"/>
    <col min="15883" max="15883" width="18" style="412" customWidth="1"/>
    <col min="15884" max="15884" width="12.28515625" style="412" customWidth="1"/>
    <col min="15885" max="15885" width="11.28515625" style="412" customWidth="1"/>
    <col min="15886" max="15886" width="8.7109375" style="412" customWidth="1"/>
    <col min="15887" max="15887" width="10.7109375" style="412" customWidth="1"/>
    <col min="15888" max="15888" width="13" style="412" customWidth="1"/>
    <col min="15889" max="16128" width="9.28515625" style="412"/>
    <col min="16129" max="16129" width="6.42578125" style="412" customWidth="1"/>
    <col min="16130" max="16130" width="63.28515625" style="412" customWidth="1"/>
    <col min="16131" max="16131" width="21" style="412" customWidth="1"/>
    <col min="16132" max="16132" width="23.7109375" style="412" customWidth="1"/>
    <col min="16133" max="16137" width="16" style="412" customWidth="1"/>
    <col min="16138" max="16138" width="16.7109375" style="412" customWidth="1"/>
    <col min="16139" max="16139" width="18" style="412" customWidth="1"/>
    <col min="16140" max="16140" width="12.28515625" style="412" customWidth="1"/>
    <col min="16141" max="16141" width="11.28515625" style="412" customWidth="1"/>
    <col min="16142" max="16142" width="8.7109375" style="412" customWidth="1"/>
    <col min="16143" max="16143" width="10.7109375" style="412" customWidth="1"/>
    <col min="16144" max="16144" width="13" style="412" customWidth="1"/>
    <col min="16145" max="16384" width="9.28515625" style="412"/>
  </cols>
  <sheetData>
    <row r="1" spans="1:20">
      <c r="E1" s="413" t="s">
        <v>770</v>
      </c>
      <c r="F1" s="413"/>
      <c r="G1" s="413"/>
      <c r="H1" s="413"/>
      <c r="I1" s="413"/>
    </row>
    <row r="2" spans="1:20" ht="60" customHeight="1">
      <c r="A2" s="1984" t="s">
        <v>898</v>
      </c>
      <c r="B2" s="1984"/>
      <c r="C2" s="1984"/>
      <c r="D2" s="1984"/>
      <c r="E2" s="1984"/>
      <c r="F2" s="414"/>
      <c r="G2" s="414"/>
      <c r="H2" s="414"/>
      <c r="I2" s="414"/>
    </row>
    <row r="3" spans="1:20" ht="33.75" customHeight="1">
      <c r="A3" s="415"/>
      <c r="B3" s="415"/>
      <c r="C3" s="415"/>
      <c r="D3" s="415"/>
      <c r="E3" s="416" t="s">
        <v>205</v>
      </c>
      <c r="F3" s="417"/>
      <c r="G3" s="417"/>
      <c r="H3" s="417"/>
      <c r="I3" s="417"/>
    </row>
    <row r="4" spans="1:20" s="421" customFormat="1" ht="47.25" customHeight="1">
      <c r="A4" s="418" t="s">
        <v>291</v>
      </c>
      <c r="B4" s="418" t="s">
        <v>292</v>
      </c>
      <c r="C4" s="418" t="s">
        <v>692</v>
      </c>
      <c r="D4" s="418" t="s">
        <v>693</v>
      </c>
      <c r="E4" s="419" t="s">
        <v>58</v>
      </c>
      <c r="F4" s="420"/>
      <c r="G4" s="420"/>
      <c r="H4" s="420"/>
      <c r="I4" s="420"/>
    </row>
    <row r="5" spans="1:20" s="806" customFormat="1" ht="18.75" customHeight="1">
      <c r="A5" s="808" t="s">
        <v>294</v>
      </c>
      <c r="B5" s="808" t="s">
        <v>295</v>
      </c>
      <c r="C5" s="808" t="s">
        <v>229</v>
      </c>
      <c r="D5" s="808">
        <v>1</v>
      </c>
      <c r="E5" s="809">
        <v>2</v>
      </c>
      <c r="F5" s="810"/>
      <c r="G5" s="810"/>
      <c r="H5" s="810"/>
      <c r="I5" s="810"/>
    </row>
    <row r="6" spans="1:20" s="421" customFormat="1" ht="45.75" customHeight="1">
      <c r="A6" s="660" t="s">
        <v>108</v>
      </c>
      <c r="B6" s="660" t="s">
        <v>142</v>
      </c>
      <c r="C6" s="661"/>
      <c r="D6" s="661"/>
      <c r="E6" s="662">
        <f>SUM(E7:E13)</f>
        <v>1421.001</v>
      </c>
      <c r="F6" s="422"/>
      <c r="G6" s="422"/>
      <c r="H6" s="422"/>
      <c r="I6" s="422"/>
      <c r="J6" s="423"/>
      <c r="K6" s="423"/>
      <c r="L6" s="424"/>
      <c r="M6" s="424"/>
      <c r="N6" s="424"/>
      <c r="O6" s="424"/>
      <c r="P6" s="424"/>
      <c r="Q6" s="424"/>
      <c r="R6" s="424"/>
      <c r="S6" s="424"/>
      <c r="T6" s="424"/>
    </row>
    <row r="7" spans="1:20" s="421" customFormat="1" ht="56.25">
      <c r="A7" s="663">
        <v>1</v>
      </c>
      <c r="B7" s="664" t="s">
        <v>694</v>
      </c>
      <c r="C7" s="665" t="s">
        <v>695</v>
      </c>
      <c r="D7" s="1985" t="s">
        <v>696</v>
      </c>
      <c r="E7" s="666">
        <v>100.2</v>
      </c>
      <c r="F7" s="426"/>
      <c r="G7" s="426"/>
      <c r="H7" s="426"/>
      <c r="I7" s="426"/>
      <c r="J7" s="423"/>
      <c r="K7" s="423"/>
    </row>
    <row r="8" spans="1:20" s="421" customFormat="1" ht="59.25" customHeight="1">
      <c r="A8" s="663">
        <v>2</v>
      </c>
      <c r="B8" s="664" t="s">
        <v>697</v>
      </c>
      <c r="C8" s="665" t="s">
        <v>698</v>
      </c>
      <c r="D8" s="1985"/>
      <c r="E8" s="666">
        <v>600</v>
      </c>
      <c r="F8" s="427"/>
      <c r="G8" s="427"/>
      <c r="H8" s="427"/>
      <c r="I8" s="427"/>
      <c r="J8" s="428"/>
      <c r="K8" s="429"/>
      <c r="L8" s="423"/>
      <c r="M8" s="424"/>
      <c r="N8" s="424"/>
      <c r="O8" s="424"/>
      <c r="P8" s="424"/>
      <c r="Q8" s="424"/>
      <c r="R8" s="424"/>
      <c r="S8" s="424"/>
      <c r="T8" s="424"/>
    </row>
    <row r="9" spans="1:20" s="421" customFormat="1" ht="56.25">
      <c r="A9" s="663">
        <v>3</v>
      </c>
      <c r="B9" s="667" t="s">
        <v>699</v>
      </c>
      <c r="C9" s="665" t="s">
        <v>700</v>
      </c>
      <c r="D9" s="665" t="s">
        <v>701</v>
      </c>
      <c r="E9" s="666">
        <v>20</v>
      </c>
      <c r="F9" s="427"/>
      <c r="G9" s="427"/>
      <c r="H9" s="427"/>
      <c r="I9" s="427"/>
      <c r="K9" s="429"/>
      <c r="L9" s="423"/>
      <c r="M9" s="424"/>
      <c r="N9" s="424"/>
      <c r="O9" s="424"/>
      <c r="P9" s="424"/>
      <c r="Q9" s="424"/>
      <c r="R9" s="424"/>
      <c r="S9" s="424"/>
      <c r="T9" s="424"/>
    </row>
    <row r="10" spans="1:20" s="421" customFormat="1" ht="75" customHeight="1">
      <c r="A10" s="663">
        <v>4</v>
      </c>
      <c r="B10" s="664" t="s">
        <v>702</v>
      </c>
      <c r="C10" s="665" t="s">
        <v>703</v>
      </c>
      <c r="D10" s="665" t="s">
        <v>704</v>
      </c>
      <c r="E10" s="666">
        <f>41.8+15</f>
        <v>56.8</v>
      </c>
      <c r="F10" s="427"/>
      <c r="G10" s="427"/>
      <c r="H10" s="427"/>
      <c r="I10" s="427"/>
      <c r="J10" s="423"/>
      <c r="K10" s="423"/>
      <c r="L10" s="424"/>
      <c r="M10" s="424"/>
      <c r="N10" s="424"/>
      <c r="O10" s="424"/>
      <c r="P10" s="424"/>
      <c r="Q10" s="424"/>
      <c r="R10" s="424"/>
      <c r="S10" s="424"/>
      <c r="T10" s="424"/>
    </row>
    <row r="11" spans="1:20" s="421" customFormat="1" ht="66" customHeight="1">
      <c r="A11" s="663">
        <v>5</v>
      </c>
      <c r="B11" s="664" t="s">
        <v>705</v>
      </c>
      <c r="C11" s="665" t="s">
        <v>706</v>
      </c>
      <c r="D11" s="665" t="s">
        <v>707</v>
      </c>
      <c r="E11" s="666">
        <v>37.369999999999997</v>
      </c>
      <c r="F11" s="427"/>
      <c r="G11" s="427"/>
      <c r="H11" s="427"/>
      <c r="I11" s="427"/>
      <c r="J11" s="423"/>
      <c r="K11" s="423"/>
      <c r="L11" s="424"/>
      <c r="M11" s="424"/>
      <c r="N11" s="424"/>
      <c r="O11" s="424"/>
      <c r="P11" s="424"/>
      <c r="Q11" s="424"/>
      <c r="R11" s="424"/>
      <c r="S11" s="424"/>
      <c r="T11" s="424"/>
    </row>
    <row r="12" spans="1:20" s="421" customFormat="1" ht="69.75" customHeight="1">
      <c r="A12" s="663">
        <v>6</v>
      </c>
      <c r="B12" s="664" t="s">
        <v>708</v>
      </c>
      <c r="C12" s="665" t="s">
        <v>709</v>
      </c>
      <c r="D12" s="1985" t="s">
        <v>710</v>
      </c>
      <c r="E12" s="666">
        <f>71.301+235.33</f>
        <v>306.63100000000003</v>
      </c>
      <c r="F12" s="427"/>
      <c r="G12" s="427"/>
      <c r="H12" s="427"/>
      <c r="I12" s="427"/>
      <c r="J12" s="430"/>
      <c r="K12" s="423"/>
      <c r="L12" s="424"/>
      <c r="M12" s="424"/>
      <c r="N12" s="424"/>
      <c r="O12" s="424"/>
      <c r="P12" s="424"/>
      <c r="Q12" s="424"/>
      <c r="R12" s="424"/>
      <c r="S12" s="424"/>
      <c r="T12" s="424"/>
    </row>
    <row r="13" spans="1:20" s="421" customFormat="1" ht="54.75" customHeight="1">
      <c r="A13" s="663">
        <v>7</v>
      </c>
      <c r="B13" s="664" t="s">
        <v>711</v>
      </c>
      <c r="C13" s="665" t="s">
        <v>712</v>
      </c>
      <c r="D13" s="1985"/>
      <c r="E13" s="666">
        <f>74.63+225.37</f>
        <v>300</v>
      </c>
      <c r="F13" s="427"/>
      <c r="G13" s="427"/>
      <c r="H13" s="427"/>
      <c r="I13" s="427"/>
      <c r="J13" s="430"/>
      <c r="K13" s="423"/>
      <c r="L13" s="424"/>
      <c r="M13" s="424"/>
      <c r="N13" s="424"/>
      <c r="O13" s="424"/>
      <c r="P13" s="424"/>
      <c r="Q13" s="424"/>
      <c r="R13" s="424"/>
      <c r="S13" s="424"/>
      <c r="T13" s="424"/>
    </row>
    <row r="15" spans="1:20" ht="15.75">
      <c r="A15" s="398"/>
      <c r="B15" s="28"/>
      <c r="C15" s="1778" t="s">
        <v>686</v>
      </c>
      <c r="D15" s="1778"/>
      <c r="E15" s="1778"/>
      <c r="F15" s="1778"/>
    </row>
    <row r="16" spans="1:20" ht="18.75">
      <c r="A16" s="1779" t="s">
        <v>382</v>
      </c>
      <c r="B16" s="1779"/>
      <c r="C16" s="1779" t="s">
        <v>532</v>
      </c>
      <c r="D16" s="1779"/>
      <c r="E16" s="1779"/>
      <c r="F16" s="1779"/>
      <c r="G16" s="431"/>
      <c r="H16" s="431"/>
      <c r="I16" s="431"/>
    </row>
    <row r="17" spans="1:6" ht="15.75">
      <c r="A17" s="1778" t="s">
        <v>383</v>
      </c>
      <c r="B17" s="1778"/>
      <c r="C17" s="1778" t="s">
        <v>141</v>
      </c>
      <c r="D17" s="1778"/>
      <c r="E17" s="1778"/>
      <c r="F17" s="1778"/>
    </row>
    <row r="18" spans="1:6" ht="15">
      <c r="A18" s="28"/>
      <c r="B18" s="28"/>
      <c r="C18" s="215"/>
      <c r="D18" s="28"/>
      <c r="E18" s="28"/>
      <c r="F18" s="28"/>
    </row>
    <row r="19" spans="1:6" ht="15">
      <c r="A19" s="28"/>
      <c r="B19" s="28"/>
      <c r="C19" s="215"/>
      <c r="D19" s="28"/>
      <c r="E19" s="28"/>
      <c r="F19" s="28"/>
    </row>
    <row r="20" spans="1:6" ht="15">
      <c r="A20" s="28"/>
      <c r="B20" s="28"/>
      <c r="C20" s="215"/>
      <c r="D20" s="28"/>
      <c r="E20" s="28"/>
      <c r="F20" s="28"/>
    </row>
    <row r="21" spans="1:6" ht="15">
      <c r="A21" s="28"/>
      <c r="B21" s="28"/>
      <c r="C21" s="215"/>
      <c r="D21" s="28"/>
      <c r="E21" s="28"/>
      <c r="F21" s="28"/>
    </row>
    <row r="22" spans="1:6" ht="15">
      <c r="A22" s="28"/>
      <c r="B22" s="28"/>
      <c r="C22" s="215"/>
      <c r="D22" s="28"/>
      <c r="E22" s="28"/>
      <c r="F22" s="28"/>
    </row>
    <row r="23" spans="1:6" ht="15">
      <c r="A23" s="28"/>
      <c r="B23" s="28"/>
      <c r="C23" s="215"/>
      <c r="D23" s="28"/>
      <c r="E23" s="28"/>
      <c r="F23" s="28"/>
    </row>
    <row r="24" spans="1:6" ht="18.75">
      <c r="A24" s="1983" t="s">
        <v>488</v>
      </c>
      <c r="B24" s="1983"/>
      <c r="C24" s="1983" t="s">
        <v>513</v>
      </c>
      <c r="D24" s="1983"/>
      <c r="E24" s="1983"/>
      <c r="F24" s="1983"/>
    </row>
  </sheetData>
  <mergeCells count="10">
    <mergeCell ref="A2:E2"/>
    <mergeCell ref="D7:D8"/>
    <mergeCell ref="A24:B24"/>
    <mergeCell ref="C24:F24"/>
    <mergeCell ref="D12:D13"/>
    <mergeCell ref="C15:F15"/>
    <mergeCell ref="A16:B16"/>
    <mergeCell ref="C16:F16"/>
    <mergeCell ref="A17:B17"/>
    <mergeCell ref="C17:F17"/>
  </mergeCells>
  <pageMargins left="0.7" right="0.17" top="0.66" bottom="0.23" header="0.3" footer="0.2"/>
  <pageSetup paperSize="9" orientation="landscape"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1"/>
  <dimension ref="A1:N50"/>
  <sheetViews>
    <sheetView workbookViewId="0">
      <selection activeCell="E26" sqref="E26"/>
    </sheetView>
  </sheetViews>
  <sheetFormatPr defaultRowHeight="12.75"/>
  <cols>
    <col min="1" max="1" width="6.42578125" style="412" customWidth="1"/>
    <col min="2" max="2" width="59" style="412" customWidth="1"/>
    <col min="3" max="3" width="21.7109375" style="412" customWidth="1"/>
    <col min="4" max="5" width="18.28515625" style="412" customWidth="1"/>
    <col min="6" max="6" width="19.28515625" style="412" customWidth="1"/>
    <col min="7" max="7" width="27.42578125" style="412" hidden="1" customWidth="1"/>
    <col min="8" max="8" width="23.5703125" style="412" hidden="1" customWidth="1"/>
    <col min="9" max="9" width="24.28515625" style="412" hidden="1" customWidth="1"/>
    <col min="10" max="10" width="23.42578125" style="412" hidden="1" customWidth="1"/>
    <col min="11" max="11" width="15.28515625" style="827" customWidth="1"/>
    <col min="12" max="12" width="11.28515625" style="827" customWidth="1"/>
    <col min="13" max="13" width="13.42578125" style="819" customWidth="1"/>
    <col min="14" max="14" width="13.42578125" style="827" customWidth="1"/>
    <col min="15" max="256" width="9.28515625" style="412"/>
    <col min="257" max="257" width="6.42578125" style="412" customWidth="1"/>
    <col min="258" max="258" width="59" style="412" customWidth="1"/>
    <col min="259" max="259" width="21.7109375" style="412" customWidth="1"/>
    <col min="260" max="261" width="18.28515625" style="412" customWidth="1"/>
    <col min="262" max="262" width="19.28515625" style="412" customWidth="1"/>
    <col min="263" max="263" width="0" style="412" hidden="1" customWidth="1"/>
    <col min="264" max="264" width="23.5703125" style="412" customWidth="1"/>
    <col min="265" max="265" width="24.28515625" style="412" customWidth="1"/>
    <col min="266" max="266" width="12.28515625" style="412" customWidth="1"/>
    <col min="267" max="267" width="11.28515625" style="412" customWidth="1"/>
    <col min="268" max="268" width="8.7109375" style="412" customWidth="1"/>
    <col min="269" max="269" width="10.7109375" style="412" customWidth="1"/>
    <col min="270" max="270" width="13" style="412" customWidth="1"/>
    <col min="271" max="512" width="9.28515625" style="412"/>
    <col min="513" max="513" width="6.42578125" style="412" customWidth="1"/>
    <col min="514" max="514" width="59" style="412" customWidth="1"/>
    <col min="515" max="515" width="21.7109375" style="412" customWidth="1"/>
    <col min="516" max="517" width="18.28515625" style="412" customWidth="1"/>
    <col min="518" max="518" width="19.28515625" style="412" customWidth="1"/>
    <col min="519" max="519" width="0" style="412" hidden="1" customWidth="1"/>
    <col min="520" max="520" width="23.5703125" style="412" customWidth="1"/>
    <col min="521" max="521" width="24.28515625" style="412" customWidth="1"/>
    <col min="522" max="522" width="12.28515625" style="412" customWidth="1"/>
    <col min="523" max="523" width="11.28515625" style="412" customWidth="1"/>
    <col min="524" max="524" width="8.7109375" style="412" customWidth="1"/>
    <col min="525" max="525" width="10.7109375" style="412" customWidth="1"/>
    <col min="526" max="526" width="13" style="412" customWidth="1"/>
    <col min="527" max="768" width="9.28515625" style="412"/>
    <col min="769" max="769" width="6.42578125" style="412" customWidth="1"/>
    <col min="770" max="770" width="59" style="412" customWidth="1"/>
    <col min="771" max="771" width="21.7109375" style="412" customWidth="1"/>
    <col min="772" max="773" width="18.28515625" style="412" customWidth="1"/>
    <col min="774" max="774" width="19.28515625" style="412" customWidth="1"/>
    <col min="775" max="775" width="0" style="412" hidden="1" customWidth="1"/>
    <col min="776" max="776" width="23.5703125" style="412" customWidth="1"/>
    <col min="777" max="777" width="24.28515625" style="412" customWidth="1"/>
    <col min="778" max="778" width="12.28515625" style="412" customWidth="1"/>
    <col min="779" max="779" width="11.28515625" style="412" customWidth="1"/>
    <col min="780" max="780" width="8.7109375" style="412" customWidth="1"/>
    <col min="781" max="781" width="10.7109375" style="412" customWidth="1"/>
    <col min="782" max="782" width="13" style="412" customWidth="1"/>
    <col min="783" max="1024" width="9.28515625" style="412"/>
    <col min="1025" max="1025" width="6.42578125" style="412" customWidth="1"/>
    <col min="1026" max="1026" width="59" style="412" customWidth="1"/>
    <col min="1027" max="1027" width="21.7109375" style="412" customWidth="1"/>
    <col min="1028" max="1029" width="18.28515625" style="412" customWidth="1"/>
    <col min="1030" max="1030" width="19.28515625" style="412" customWidth="1"/>
    <col min="1031" max="1031" width="0" style="412" hidden="1" customWidth="1"/>
    <col min="1032" max="1032" width="23.5703125" style="412" customWidth="1"/>
    <col min="1033" max="1033" width="24.28515625" style="412" customWidth="1"/>
    <col min="1034" max="1034" width="12.28515625" style="412" customWidth="1"/>
    <col min="1035" max="1035" width="11.28515625" style="412" customWidth="1"/>
    <col min="1036" max="1036" width="8.7109375" style="412" customWidth="1"/>
    <col min="1037" max="1037" width="10.7109375" style="412" customWidth="1"/>
    <col min="1038" max="1038" width="13" style="412" customWidth="1"/>
    <col min="1039" max="1280" width="9.28515625" style="412"/>
    <col min="1281" max="1281" width="6.42578125" style="412" customWidth="1"/>
    <col min="1282" max="1282" width="59" style="412" customWidth="1"/>
    <col min="1283" max="1283" width="21.7109375" style="412" customWidth="1"/>
    <col min="1284" max="1285" width="18.28515625" style="412" customWidth="1"/>
    <col min="1286" max="1286" width="19.28515625" style="412" customWidth="1"/>
    <col min="1287" max="1287" width="0" style="412" hidden="1" customWidth="1"/>
    <col min="1288" max="1288" width="23.5703125" style="412" customWidth="1"/>
    <col min="1289" max="1289" width="24.28515625" style="412" customWidth="1"/>
    <col min="1290" max="1290" width="12.28515625" style="412" customWidth="1"/>
    <col min="1291" max="1291" width="11.28515625" style="412" customWidth="1"/>
    <col min="1292" max="1292" width="8.7109375" style="412" customWidth="1"/>
    <col min="1293" max="1293" width="10.7109375" style="412" customWidth="1"/>
    <col min="1294" max="1294" width="13" style="412" customWidth="1"/>
    <col min="1295" max="1536" width="9.28515625" style="412"/>
    <col min="1537" max="1537" width="6.42578125" style="412" customWidth="1"/>
    <col min="1538" max="1538" width="59" style="412" customWidth="1"/>
    <col min="1539" max="1539" width="21.7109375" style="412" customWidth="1"/>
    <col min="1540" max="1541" width="18.28515625" style="412" customWidth="1"/>
    <col min="1542" max="1542" width="19.28515625" style="412" customWidth="1"/>
    <col min="1543" max="1543" width="0" style="412" hidden="1" customWidth="1"/>
    <col min="1544" max="1544" width="23.5703125" style="412" customWidth="1"/>
    <col min="1545" max="1545" width="24.28515625" style="412" customWidth="1"/>
    <col min="1546" max="1546" width="12.28515625" style="412" customWidth="1"/>
    <col min="1547" max="1547" width="11.28515625" style="412" customWidth="1"/>
    <col min="1548" max="1548" width="8.7109375" style="412" customWidth="1"/>
    <col min="1549" max="1549" width="10.7109375" style="412" customWidth="1"/>
    <col min="1550" max="1550" width="13" style="412" customWidth="1"/>
    <col min="1551" max="1792" width="9.28515625" style="412"/>
    <col min="1793" max="1793" width="6.42578125" style="412" customWidth="1"/>
    <col min="1794" max="1794" width="59" style="412" customWidth="1"/>
    <col min="1795" max="1795" width="21.7109375" style="412" customWidth="1"/>
    <col min="1796" max="1797" width="18.28515625" style="412" customWidth="1"/>
    <col min="1798" max="1798" width="19.28515625" style="412" customWidth="1"/>
    <col min="1799" max="1799" width="0" style="412" hidden="1" customWidth="1"/>
    <col min="1800" max="1800" width="23.5703125" style="412" customWidth="1"/>
    <col min="1801" max="1801" width="24.28515625" style="412" customWidth="1"/>
    <col min="1802" max="1802" width="12.28515625" style="412" customWidth="1"/>
    <col min="1803" max="1803" width="11.28515625" style="412" customWidth="1"/>
    <col min="1804" max="1804" width="8.7109375" style="412" customWidth="1"/>
    <col min="1805" max="1805" width="10.7109375" style="412" customWidth="1"/>
    <col min="1806" max="1806" width="13" style="412" customWidth="1"/>
    <col min="1807" max="2048" width="9.28515625" style="412"/>
    <col min="2049" max="2049" width="6.42578125" style="412" customWidth="1"/>
    <col min="2050" max="2050" width="59" style="412" customWidth="1"/>
    <col min="2051" max="2051" width="21.7109375" style="412" customWidth="1"/>
    <col min="2052" max="2053" width="18.28515625" style="412" customWidth="1"/>
    <col min="2054" max="2054" width="19.28515625" style="412" customWidth="1"/>
    <col min="2055" max="2055" width="0" style="412" hidden="1" customWidth="1"/>
    <col min="2056" max="2056" width="23.5703125" style="412" customWidth="1"/>
    <col min="2057" max="2057" width="24.28515625" style="412" customWidth="1"/>
    <col min="2058" max="2058" width="12.28515625" style="412" customWidth="1"/>
    <col min="2059" max="2059" width="11.28515625" style="412" customWidth="1"/>
    <col min="2060" max="2060" width="8.7109375" style="412" customWidth="1"/>
    <col min="2061" max="2061" width="10.7109375" style="412" customWidth="1"/>
    <col min="2062" max="2062" width="13" style="412" customWidth="1"/>
    <col min="2063" max="2304" width="9.28515625" style="412"/>
    <col min="2305" max="2305" width="6.42578125" style="412" customWidth="1"/>
    <col min="2306" max="2306" width="59" style="412" customWidth="1"/>
    <col min="2307" max="2307" width="21.7109375" style="412" customWidth="1"/>
    <col min="2308" max="2309" width="18.28515625" style="412" customWidth="1"/>
    <col min="2310" max="2310" width="19.28515625" style="412" customWidth="1"/>
    <col min="2311" max="2311" width="0" style="412" hidden="1" customWidth="1"/>
    <col min="2312" max="2312" width="23.5703125" style="412" customWidth="1"/>
    <col min="2313" max="2313" width="24.28515625" style="412" customWidth="1"/>
    <col min="2314" max="2314" width="12.28515625" style="412" customWidth="1"/>
    <col min="2315" max="2315" width="11.28515625" style="412" customWidth="1"/>
    <col min="2316" max="2316" width="8.7109375" style="412" customWidth="1"/>
    <col min="2317" max="2317" width="10.7109375" style="412" customWidth="1"/>
    <col min="2318" max="2318" width="13" style="412" customWidth="1"/>
    <col min="2319" max="2560" width="9.28515625" style="412"/>
    <col min="2561" max="2561" width="6.42578125" style="412" customWidth="1"/>
    <col min="2562" max="2562" width="59" style="412" customWidth="1"/>
    <col min="2563" max="2563" width="21.7109375" style="412" customWidth="1"/>
    <col min="2564" max="2565" width="18.28515625" style="412" customWidth="1"/>
    <col min="2566" max="2566" width="19.28515625" style="412" customWidth="1"/>
    <col min="2567" max="2567" width="0" style="412" hidden="1" customWidth="1"/>
    <col min="2568" max="2568" width="23.5703125" style="412" customWidth="1"/>
    <col min="2569" max="2569" width="24.28515625" style="412" customWidth="1"/>
    <col min="2570" max="2570" width="12.28515625" style="412" customWidth="1"/>
    <col min="2571" max="2571" width="11.28515625" style="412" customWidth="1"/>
    <col min="2572" max="2572" width="8.7109375" style="412" customWidth="1"/>
    <col min="2573" max="2573" width="10.7109375" style="412" customWidth="1"/>
    <col min="2574" max="2574" width="13" style="412" customWidth="1"/>
    <col min="2575" max="2816" width="9.28515625" style="412"/>
    <col min="2817" max="2817" width="6.42578125" style="412" customWidth="1"/>
    <col min="2818" max="2818" width="59" style="412" customWidth="1"/>
    <col min="2819" max="2819" width="21.7109375" style="412" customWidth="1"/>
    <col min="2820" max="2821" width="18.28515625" style="412" customWidth="1"/>
    <col min="2822" max="2822" width="19.28515625" style="412" customWidth="1"/>
    <col min="2823" max="2823" width="0" style="412" hidden="1" customWidth="1"/>
    <col min="2824" max="2824" width="23.5703125" style="412" customWidth="1"/>
    <col min="2825" max="2825" width="24.28515625" style="412" customWidth="1"/>
    <col min="2826" max="2826" width="12.28515625" style="412" customWidth="1"/>
    <col min="2827" max="2827" width="11.28515625" style="412" customWidth="1"/>
    <col min="2828" max="2828" width="8.7109375" style="412" customWidth="1"/>
    <col min="2829" max="2829" width="10.7109375" style="412" customWidth="1"/>
    <col min="2830" max="2830" width="13" style="412" customWidth="1"/>
    <col min="2831" max="3072" width="9.28515625" style="412"/>
    <col min="3073" max="3073" width="6.42578125" style="412" customWidth="1"/>
    <col min="3074" max="3074" width="59" style="412" customWidth="1"/>
    <col min="3075" max="3075" width="21.7109375" style="412" customWidth="1"/>
    <col min="3076" max="3077" width="18.28515625" style="412" customWidth="1"/>
    <col min="3078" max="3078" width="19.28515625" style="412" customWidth="1"/>
    <col min="3079" max="3079" width="0" style="412" hidden="1" customWidth="1"/>
    <col min="3080" max="3080" width="23.5703125" style="412" customWidth="1"/>
    <col min="3081" max="3081" width="24.28515625" style="412" customWidth="1"/>
    <col min="3082" max="3082" width="12.28515625" style="412" customWidth="1"/>
    <col min="3083" max="3083" width="11.28515625" style="412" customWidth="1"/>
    <col min="3084" max="3084" width="8.7109375" style="412" customWidth="1"/>
    <col min="3085" max="3085" width="10.7109375" style="412" customWidth="1"/>
    <col min="3086" max="3086" width="13" style="412" customWidth="1"/>
    <col min="3087" max="3328" width="9.28515625" style="412"/>
    <col min="3329" max="3329" width="6.42578125" style="412" customWidth="1"/>
    <col min="3330" max="3330" width="59" style="412" customWidth="1"/>
    <col min="3331" max="3331" width="21.7109375" style="412" customWidth="1"/>
    <col min="3332" max="3333" width="18.28515625" style="412" customWidth="1"/>
    <col min="3334" max="3334" width="19.28515625" style="412" customWidth="1"/>
    <col min="3335" max="3335" width="0" style="412" hidden="1" customWidth="1"/>
    <col min="3336" max="3336" width="23.5703125" style="412" customWidth="1"/>
    <col min="3337" max="3337" width="24.28515625" style="412" customWidth="1"/>
    <col min="3338" max="3338" width="12.28515625" style="412" customWidth="1"/>
    <col min="3339" max="3339" width="11.28515625" style="412" customWidth="1"/>
    <col min="3340" max="3340" width="8.7109375" style="412" customWidth="1"/>
    <col min="3341" max="3341" width="10.7109375" style="412" customWidth="1"/>
    <col min="3342" max="3342" width="13" style="412" customWidth="1"/>
    <col min="3343" max="3584" width="9.28515625" style="412"/>
    <col min="3585" max="3585" width="6.42578125" style="412" customWidth="1"/>
    <col min="3586" max="3586" width="59" style="412" customWidth="1"/>
    <col min="3587" max="3587" width="21.7109375" style="412" customWidth="1"/>
    <col min="3588" max="3589" width="18.28515625" style="412" customWidth="1"/>
    <col min="3590" max="3590" width="19.28515625" style="412" customWidth="1"/>
    <col min="3591" max="3591" width="0" style="412" hidden="1" customWidth="1"/>
    <col min="3592" max="3592" width="23.5703125" style="412" customWidth="1"/>
    <col min="3593" max="3593" width="24.28515625" style="412" customWidth="1"/>
    <col min="3594" max="3594" width="12.28515625" style="412" customWidth="1"/>
    <col min="3595" max="3595" width="11.28515625" style="412" customWidth="1"/>
    <col min="3596" max="3596" width="8.7109375" style="412" customWidth="1"/>
    <col min="3597" max="3597" width="10.7109375" style="412" customWidth="1"/>
    <col min="3598" max="3598" width="13" style="412" customWidth="1"/>
    <col min="3599" max="3840" width="9.28515625" style="412"/>
    <col min="3841" max="3841" width="6.42578125" style="412" customWidth="1"/>
    <col min="3842" max="3842" width="59" style="412" customWidth="1"/>
    <col min="3843" max="3843" width="21.7109375" style="412" customWidth="1"/>
    <col min="3844" max="3845" width="18.28515625" style="412" customWidth="1"/>
    <col min="3846" max="3846" width="19.28515625" style="412" customWidth="1"/>
    <col min="3847" max="3847" width="0" style="412" hidden="1" customWidth="1"/>
    <col min="3848" max="3848" width="23.5703125" style="412" customWidth="1"/>
    <col min="3849" max="3849" width="24.28515625" style="412" customWidth="1"/>
    <col min="3850" max="3850" width="12.28515625" style="412" customWidth="1"/>
    <col min="3851" max="3851" width="11.28515625" style="412" customWidth="1"/>
    <col min="3852" max="3852" width="8.7109375" style="412" customWidth="1"/>
    <col min="3853" max="3853" width="10.7109375" style="412" customWidth="1"/>
    <col min="3854" max="3854" width="13" style="412" customWidth="1"/>
    <col min="3855" max="4096" width="9.28515625" style="412"/>
    <col min="4097" max="4097" width="6.42578125" style="412" customWidth="1"/>
    <col min="4098" max="4098" width="59" style="412" customWidth="1"/>
    <col min="4099" max="4099" width="21.7109375" style="412" customWidth="1"/>
    <col min="4100" max="4101" width="18.28515625" style="412" customWidth="1"/>
    <col min="4102" max="4102" width="19.28515625" style="412" customWidth="1"/>
    <col min="4103" max="4103" width="0" style="412" hidden="1" customWidth="1"/>
    <col min="4104" max="4104" width="23.5703125" style="412" customWidth="1"/>
    <col min="4105" max="4105" width="24.28515625" style="412" customWidth="1"/>
    <col min="4106" max="4106" width="12.28515625" style="412" customWidth="1"/>
    <col min="4107" max="4107" width="11.28515625" style="412" customWidth="1"/>
    <col min="4108" max="4108" width="8.7109375" style="412" customWidth="1"/>
    <col min="4109" max="4109" width="10.7109375" style="412" customWidth="1"/>
    <col min="4110" max="4110" width="13" style="412" customWidth="1"/>
    <col min="4111" max="4352" width="9.28515625" style="412"/>
    <col min="4353" max="4353" width="6.42578125" style="412" customWidth="1"/>
    <col min="4354" max="4354" width="59" style="412" customWidth="1"/>
    <col min="4355" max="4355" width="21.7109375" style="412" customWidth="1"/>
    <col min="4356" max="4357" width="18.28515625" style="412" customWidth="1"/>
    <col min="4358" max="4358" width="19.28515625" style="412" customWidth="1"/>
    <col min="4359" max="4359" width="0" style="412" hidden="1" customWidth="1"/>
    <col min="4360" max="4360" width="23.5703125" style="412" customWidth="1"/>
    <col min="4361" max="4361" width="24.28515625" style="412" customWidth="1"/>
    <col min="4362" max="4362" width="12.28515625" style="412" customWidth="1"/>
    <col min="4363" max="4363" width="11.28515625" style="412" customWidth="1"/>
    <col min="4364" max="4364" width="8.7109375" style="412" customWidth="1"/>
    <col min="4365" max="4365" width="10.7109375" style="412" customWidth="1"/>
    <col min="4366" max="4366" width="13" style="412" customWidth="1"/>
    <col min="4367" max="4608" width="9.28515625" style="412"/>
    <col min="4609" max="4609" width="6.42578125" style="412" customWidth="1"/>
    <col min="4610" max="4610" width="59" style="412" customWidth="1"/>
    <col min="4611" max="4611" width="21.7109375" style="412" customWidth="1"/>
    <col min="4612" max="4613" width="18.28515625" style="412" customWidth="1"/>
    <col min="4614" max="4614" width="19.28515625" style="412" customWidth="1"/>
    <col min="4615" max="4615" width="0" style="412" hidden="1" customWidth="1"/>
    <col min="4616" max="4616" width="23.5703125" style="412" customWidth="1"/>
    <col min="4617" max="4617" width="24.28515625" style="412" customWidth="1"/>
    <col min="4618" max="4618" width="12.28515625" style="412" customWidth="1"/>
    <col min="4619" max="4619" width="11.28515625" style="412" customWidth="1"/>
    <col min="4620" max="4620" width="8.7109375" style="412" customWidth="1"/>
    <col min="4621" max="4621" width="10.7109375" style="412" customWidth="1"/>
    <col min="4622" max="4622" width="13" style="412" customWidth="1"/>
    <col min="4623" max="4864" width="9.28515625" style="412"/>
    <col min="4865" max="4865" width="6.42578125" style="412" customWidth="1"/>
    <col min="4866" max="4866" width="59" style="412" customWidth="1"/>
    <col min="4867" max="4867" width="21.7109375" style="412" customWidth="1"/>
    <col min="4868" max="4869" width="18.28515625" style="412" customWidth="1"/>
    <col min="4870" max="4870" width="19.28515625" style="412" customWidth="1"/>
    <col min="4871" max="4871" width="0" style="412" hidden="1" customWidth="1"/>
    <col min="4872" max="4872" width="23.5703125" style="412" customWidth="1"/>
    <col min="4873" max="4873" width="24.28515625" style="412" customWidth="1"/>
    <col min="4874" max="4874" width="12.28515625" style="412" customWidth="1"/>
    <col min="4875" max="4875" width="11.28515625" style="412" customWidth="1"/>
    <col min="4876" max="4876" width="8.7109375" style="412" customWidth="1"/>
    <col min="4877" max="4877" width="10.7109375" style="412" customWidth="1"/>
    <col min="4878" max="4878" width="13" style="412" customWidth="1"/>
    <col min="4879" max="5120" width="9.28515625" style="412"/>
    <col min="5121" max="5121" width="6.42578125" style="412" customWidth="1"/>
    <col min="5122" max="5122" width="59" style="412" customWidth="1"/>
    <col min="5123" max="5123" width="21.7109375" style="412" customWidth="1"/>
    <col min="5124" max="5125" width="18.28515625" style="412" customWidth="1"/>
    <col min="5126" max="5126" width="19.28515625" style="412" customWidth="1"/>
    <col min="5127" max="5127" width="0" style="412" hidden="1" customWidth="1"/>
    <col min="5128" max="5128" width="23.5703125" style="412" customWidth="1"/>
    <col min="5129" max="5129" width="24.28515625" style="412" customWidth="1"/>
    <col min="5130" max="5130" width="12.28515625" style="412" customWidth="1"/>
    <col min="5131" max="5131" width="11.28515625" style="412" customWidth="1"/>
    <col min="5132" max="5132" width="8.7109375" style="412" customWidth="1"/>
    <col min="5133" max="5133" width="10.7109375" style="412" customWidth="1"/>
    <col min="5134" max="5134" width="13" style="412" customWidth="1"/>
    <col min="5135" max="5376" width="9.28515625" style="412"/>
    <col min="5377" max="5377" width="6.42578125" style="412" customWidth="1"/>
    <col min="5378" max="5378" width="59" style="412" customWidth="1"/>
    <col min="5379" max="5379" width="21.7109375" style="412" customWidth="1"/>
    <col min="5380" max="5381" width="18.28515625" style="412" customWidth="1"/>
    <col min="5382" max="5382" width="19.28515625" style="412" customWidth="1"/>
    <col min="5383" max="5383" width="0" style="412" hidden="1" customWidth="1"/>
    <col min="5384" max="5384" width="23.5703125" style="412" customWidth="1"/>
    <col min="5385" max="5385" width="24.28515625" style="412" customWidth="1"/>
    <col min="5386" max="5386" width="12.28515625" style="412" customWidth="1"/>
    <col min="5387" max="5387" width="11.28515625" style="412" customWidth="1"/>
    <col min="5388" max="5388" width="8.7109375" style="412" customWidth="1"/>
    <col min="5389" max="5389" width="10.7109375" style="412" customWidth="1"/>
    <col min="5390" max="5390" width="13" style="412" customWidth="1"/>
    <col min="5391" max="5632" width="9.28515625" style="412"/>
    <col min="5633" max="5633" width="6.42578125" style="412" customWidth="1"/>
    <col min="5634" max="5634" width="59" style="412" customWidth="1"/>
    <col min="5635" max="5635" width="21.7109375" style="412" customWidth="1"/>
    <col min="5636" max="5637" width="18.28515625" style="412" customWidth="1"/>
    <col min="5638" max="5638" width="19.28515625" style="412" customWidth="1"/>
    <col min="5639" max="5639" width="0" style="412" hidden="1" customWidth="1"/>
    <col min="5640" max="5640" width="23.5703125" style="412" customWidth="1"/>
    <col min="5641" max="5641" width="24.28515625" style="412" customWidth="1"/>
    <col min="5642" max="5642" width="12.28515625" style="412" customWidth="1"/>
    <col min="5643" max="5643" width="11.28515625" style="412" customWidth="1"/>
    <col min="5644" max="5644" width="8.7109375" style="412" customWidth="1"/>
    <col min="5645" max="5645" width="10.7109375" style="412" customWidth="1"/>
    <col min="5646" max="5646" width="13" style="412" customWidth="1"/>
    <col min="5647" max="5888" width="9.28515625" style="412"/>
    <col min="5889" max="5889" width="6.42578125" style="412" customWidth="1"/>
    <col min="5890" max="5890" width="59" style="412" customWidth="1"/>
    <col min="5891" max="5891" width="21.7109375" style="412" customWidth="1"/>
    <col min="5892" max="5893" width="18.28515625" style="412" customWidth="1"/>
    <col min="5894" max="5894" width="19.28515625" style="412" customWidth="1"/>
    <col min="5895" max="5895" width="0" style="412" hidden="1" customWidth="1"/>
    <col min="5896" max="5896" width="23.5703125" style="412" customWidth="1"/>
    <col min="5897" max="5897" width="24.28515625" style="412" customWidth="1"/>
    <col min="5898" max="5898" width="12.28515625" style="412" customWidth="1"/>
    <col min="5899" max="5899" width="11.28515625" style="412" customWidth="1"/>
    <col min="5900" max="5900" width="8.7109375" style="412" customWidth="1"/>
    <col min="5901" max="5901" width="10.7109375" style="412" customWidth="1"/>
    <col min="5902" max="5902" width="13" style="412" customWidth="1"/>
    <col min="5903" max="6144" width="9.28515625" style="412"/>
    <col min="6145" max="6145" width="6.42578125" style="412" customWidth="1"/>
    <col min="6146" max="6146" width="59" style="412" customWidth="1"/>
    <col min="6147" max="6147" width="21.7109375" style="412" customWidth="1"/>
    <col min="6148" max="6149" width="18.28515625" style="412" customWidth="1"/>
    <col min="6150" max="6150" width="19.28515625" style="412" customWidth="1"/>
    <col min="6151" max="6151" width="0" style="412" hidden="1" customWidth="1"/>
    <col min="6152" max="6152" width="23.5703125" style="412" customWidth="1"/>
    <col min="6153" max="6153" width="24.28515625" style="412" customWidth="1"/>
    <col min="6154" max="6154" width="12.28515625" style="412" customWidth="1"/>
    <col min="6155" max="6155" width="11.28515625" style="412" customWidth="1"/>
    <col min="6156" max="6156" width="8.7109375" style="412" customWidth="1"/>
    <col min="6157" max="6157" width="10.7109375" style="412" customWidth="1"/>
    <col min="6158" max="6158" width="13" style="412" customWidth="1"/>
    <col min="6159" max="6400" width="9.28515625" style="412"/>
    <col min="6401" max="6401" width="6.42578125" style="412" customWidth="1"/>
    <col min="6402" max="6402" width="59" style="412" customWidth="1"/>
    <col min="6403" max="6403" width="21.7109375" style="412" customWidth="1"/>
    <col min="6404" max="6405" width="18.28515625" style="412" customWidth="1"/>
    <col min="6406" max="6406" width="19.28515625" style="412" customWidth="1"/>
    <col min="6407" max="6407" width="0" style="412" hidden="1" customWidth="1"/>
    <col min="6408" max="6408" width="23.5703125" style="412" customWidth="1"/>
    <col min="6409" max="6409" width="24.28515625" style="412" customWidth="1"/>
    <col min="6410" max="6410" width="12.28515625" style="412" customWidth="1"/>
    <col min="6411" max="6411" width="11.28515625" style="412" customWidth="1"/>
    <col min="6412" max="6412" width="8.7109375" style="412" customWidth="1"/>
    <col min="6413" max="6413" width="10.7109375" style="412" customWidth="1"/>
    <col min="6414" max="6414" width="13" style="412" customWidth="1"/>
    <col min="6415" max="6656" width="9.28515625" style="412"/>
    <col min="6657" max="6657" width="6.42578125" style="412" customWidth="1"/>
    <col min="6658" max="6658" width="59" style="412" customWidth="1"/>
    <col min="6659" max="6659" width="21.7109375" style="412" customWidth="1"/>
    <col min="6660" max="6661" width="18.28515625" style="412" customWidth="1"/>
    <col min="6662" max="6662" width="19.28515625" style="412" customWidth="1"/>
    <col min="6663" max="6663" width="0" style="412" hidden="1" customWidth="1"/>
    <col min="6664" max="6664" width="23.5703125" style="412" customWidth="1"/>
    <col min="6665" max="6665" width="24.28515625" style="412" customWidth="1"/>
    <col min="6666" max="6666" width="12.28515625" style="412" customWidth="1"/>
    <col min="6667" max="6667" width="11.28515625" style="412" customWidth="1"/>
    <col min="6668" max="6668" width="8.7109375" style="412" customWidth="1"/>
    <col min="6669" max="6669" width="10.7109375" style="412" customWidth="1"/>
    <col min="6670" max="6670" width="13" style="412" customWidth="1"/>
    <col min="6671" max="6912" width="9.28515625" style="412"/>
    <col min="6913" max="6913" width="6.42578125" style="412" customWidth="1"/>
    <col min="6914" max="6914" width="59" style="412" customWidth="1"/>
    <col min="6915" max="6915" width="21.7109375" style="412" customWidth="1"/>
    <col min="6916" max="6917" width="18.28515625" style="412" customWidth="1"/>
    <col min="6918" max="6918" width="19.28515625" style="412" customWidth="1"/>
    <col min="6919" max="6919" width="0" style="412" hidden="1" customWidth="1"/>
    <col min="6920" max="6920" width="23.5703125" style="412" customWidth="1"/>
    <col min="6921" max="6921" width="24.28515625" style="412" customWidth="1"/>
    <col min="6922" max="6922" width="12.28515625" style="412" customWidth="1"/>
    <col min="6923" max="6923" width="11.28515625" style="412" customWidth="1"/>
    <col min="6924" max="6924" width="8.7109375" style="412" customWidth="1"/>
    <col min="6925" max="6925" width="10.7109375" style="412" customWidth="1"/>
    <col min="6926" max="6926" width="13" style="412" customWidth="1"/>
    <col min="6927" max="7168" width="9.28515625" style="412"/>
    <col min="7169" max="7169" width="6.42578125" style="412" customWidth="1"/>
    <col min="7170" max="7170" width="59" style="412" customWidth="1"/>
    <col min="7171" max="7171" width="21.7109375" style="412" customWidth="1"/>
    <col min="7172" max="7173" width="18.28515625" style="412" customWidth="1"/>
    <col min="7174" max="7174" width="19.28515625" style="412" customWidth="1"/>
    <col min="7175" max="7175" width="0" style="412" hidden="1" customWidth="1"/>
    <col min="7176" max="7176" width="23.5703125" style="412" customWidth="1"/>
    <col min="7177" max="7177" width="24.28515625" style="412" customWidth="1"/>
    <col min="7178" max="7178" width="12.28515625" style="412" customWidth="1"/>
    <col min="7179" max="7179" width="11.28515625" style="412" customWidth="1"/>
    <col min="7180" max="7180" width="8.7109375" style="412" customWidth="1"/>
    <col min="7181" max="7181" width="10.7109375" style="412" customWidth="1"/>
    <col min="7182" max="7182" width="13" style="412" customWidth="1"/>
    <col min="7183" max="7424" width="9.28515625" style="412"/>
    <col min="7425" max="7425" width="6.42578125" style="412" customWidth="1"/>
    <col min="7426" max="7426" width="59" style="412" customWidth="1"/>
    <col min="7427" max="7427" width="21.7109375" style="412" customWidth="1"/>
    <col min="7428" max="7429" width="18.28515625" style="412" customWidth="1"/>
    <col min="7430" max="7430" width="19.28515625" style="412" customWidth="1"/>
    <col min="7431" max="7431" width="0" style="412" hidden="1" customWidth="1"/>
    <col min="7432" max="7432" width="23.5703125" style="412" customWidth="1"/>
    <col min="7433" max="7433" width="24.28515625" style="412" customWidth="1"/>
    <col min="7434" max="7434" width="12.28515625" style="412" customWidth="1"/>
    <col min="7435" max="7435" width="11.28515625" style="412" customWidth="1"/>
    <col min="7436" max="7436" width="8.7109375" style="412" customWidth="1"/>
    <col min="7437" max="7437" width="10.7109375" style="412" customWidth="1"/>
    <col min="7438" max="7438" width="13" style="412" customWidth="1"/>
    <col min="7439" max="7680" width="9.28515625" style="412"/>
    <col min="7681" max="7681" width="6.42578125" style="412" customWidth="1"/>
    <col min="7682" max="7682" width="59" style="412" customWidth="1"/>
    <col min="7683" max="7683" width="21.7109375" style="412" customWidth="1"/>
    <col min="7684" max="7685" width="18.28515625" style="412" customWidth="1"/>
    <col min="7686" max="7686" width="19.28515625" style="412" customWidth="1"/>
    <col min="7687" max="7687" width="0" style="412" hidden="1" customWidth="1"/>
    <col min="7688" max="7688" width="23.5703125" style="412" customWidth="1"/>
    <col min="7689" max="7689" width="24.28515625" style="412" customWidth="1"/>
    <col min="7690" max="7690" width="12.28515625" style="412" customWidth="1"/>
    <col min="7691" max="7691" width="11.28515625" style="412" customWidth="1"/>
    <col min="7692" max="7692" width="8.7109375" style="412" customWidth="1"/>
    <col min="7693" max="7693" width="10.7109375" style="412" customWidth="1"/>
    <col min="7694" max="7694" width="13" style="412" customWidth="1"/>
    <col min="7695" max="7936" width="9.28515625" style="412"/>
    <col min="7937" max="7937" width="6.42578125" style="412" customWidth="1"/>
    <col min="7938" max="7938" width="59" style="412" customWidth="1"/>
    <col min="7939" max="7939" width="21.7109375" style="412" customWidth="1"/>
    <col min="7940" max="7941" width="18.28515625" style="412" customWidth="1"/>
    <col min="7942" max="7942" width="19.28515625" style="412" customWidth="1"/>
    <col min="7943" max="7943" width="0" style="412" hidden="1" customWidth="1"/>
    <col min="7944" max="7944" width="23.5703125" style="412" customWidth="1"/>
    <col min="7945" max="7945" width="24.28515625" style="412" customWidth="1"/>
    <col min="7946" max="7946" width="12.28515625" style="412" customWidth="1"/>
    <col min="7947" max="7947" width="11.28515625" style="412" customWidth="1"/>
    <col min="7948" max="7948" width="8.7109375" style="412" customWidth="1"/>
    <col min="7949" max="7949" width="10.7109375" style="412" customWidth="1"/>
    <col min="7950" max="7950" width="13" style="412" customWidth="1"/>
    <col min="7951" max="8192" width="9.28515625" style="412"/>
    <col min="8193" max="8193" width="6.42578125" style="412" customWidth="1"/>
    <col min="8194" max="8194" width="59" style="412" customWidth="1"/>
    <col min="8195" max="8195" width="21.7109375" style="412" customWidth="1"/>
    <col min="8196" max="8197" width="18.28515625" style="412" customWidth="1"/>
    <col min="8198" max="8198" width="19.28515625" style="412" customWidth="1"/>
    <col min="8199" max="8199" width="0" style="412" hidden="1" customWidth="1"/>
    <col min="8200" max="8200" width="23.5703125" style="412" customWidth="1"/>
    <col min="8201" max="8201" width="24.28515625" style="412" customWidth="1"/>
    <col min="8202" max="8202" width="12.28515625" style="412" customWidth="1"/>
    <col min="8203" max="8203" width="11.28515625" style="412" customWidth="1"/>
    <col min="8204" max="8204" width="8.7109375" style="412" customWidth="1"/>
    <col min="8205" max="8205" width="10.7109375" style="412" customWidth="1"/>
    <col min="8206" max="8206" width="13" style="412" customWidth="1"/>
    <col min="8207" max="8448" width="9.28515625" style="412"/>
    <col min="8449" max="8449" width="6.42578125" style="412" customWidth="1"/>
    <col min="8450" max="8450" width="59" style="412" customWidth="1"/>
    <col min="8451" max="8451" width="21.7109375" style="412" customWidth="1"/>
    <col min="8452" max="8453" width="18.28515625" style="412" customWidth="1"/>
    <col min="8454" max="8454" width="19.28515625" style="412" customWidth="1"/>
    <col min="8455" max="8455" width="0" style="412" hidden="1" customWidth="1"/>
    <col min="8456" max="8456" width="23.5703125" style="412" customWidth="1"/>
    <col min="8457" max="8457" width="24.28515625" style="412" customWidth="1"/>
    <col min="8458" max="8458" width="12.28515625" style="412" customWidth="1"/>
    <col min="8459" max="8459" width="11.28515625" style="412" customWidth="1"/>
    <col min="8460" max="8460" width="8.7109375" style="412" customWidth="1"/>
    <col min="8461" max="8461" width="10.7109375" style="412" customWidth="1"/>
    <col min="8462" max="8462" width="13" style="412" customWidth="1"/>
    <col min="8463" max="8704" width="9.28515625" style="412"/>
    <col min="8705" max="8705" width="6.42578125" style="412" customWidth="1"/>
    <col min="8706" max="8706" width="59" style="412" customWidth="1"/>
    <col min="8707" max="8707" width="21.7109375" style="412" customWidth="1"/>
    <col min="8708" max="8709" width="18.28515625" style="412" customWidth="1"/>
    <col min="8710" max="8710" width="19.28515625" style="412" customWidth="1"/>
    <col min="8711" max="8711" width="0" style="412" hidden="1" customWidth="1"/>
    <col min="8712" max="8712" width="23.5703125" style="412" customWidth="1"/>
    <col min="8713" max="8713" width="24.28515625" style="412" customWidth="1"/>
    <col min="8714" max="8714" width="12.28515625" style="412" customWidth="1"/>
    <col min="8715" max="8715" width="11.28515625" style="412" customWidth="1"/>
    <col min="8716" max="8716" width="8.7109375" style="412" customWidth="1"/>
    <col min="8717" max="8717" width="10.7109375" style="412" customWidth="1"/>
    <col min="8718" max="8718" width="13" style="412" customWidth="1"/>
    <col min="8719" max="8960" width="9.28515625" style="412"/>
    <col min="8961" max="8961" width="6.42578125" style="412" customWidth="1"/>
    <col min="8962" max="8962" width="59" style="412" customWidth="1"/>
    <col min="8963" max="8963" width="21.7109375" style="412" customWidth="1"/>
    <col min="8964" max="8965" width="18.28515625" style="412" customWidth="1"/>
    <col min="8966" max="8966" width="19.28515625" style="412" customWidth="1"/>
    <col min="8967" max="8967" width="0" style="412" hidden="1" customWidth="1"/>
    <col min="8968" max="8968" width="23.5703125" style="412" customWidth="1"/>
    <col min="8969" max="8969" width="24.28515625" style="412" customWidth="1"/>
    <col min="8970" max="8970" width="12.28515625" style="412" customWidth="1"/>
    <col min="8971" max="8971" width="11.28515625" style="412" customWidth="1"/>
    <col min="8972" max="8972" width="8.7109375" style="412" customWidth="1"/>
    <col min="8973" max="8973" width="10.7109375" style="412" customWidth="1"/>
    <col min="8974" max="8974" width="13" style="412" customWidth="1"/>
    <col min="8975" max="9216" width="9.28515625" style="412"/>
    <col min="9217" max="9217" width="6.42578125" style="412" customWidth="1"/>
    <col min="9218" max="9218" width="59" style="412" customWidth="1"/>
    <col min="9219" max="9219" width="21.7109375" style="412" customWidth="1"/>
    <col min="9220" max="9221" width="18.28515625" style="412" customWidth="1"/>
    <col min="9222" max="9222" width="19.28515625" style="412" customWidth="1"/>
    <col min="9223" max="9223" width="0" style="412" hidden="1" customWidth="1"/>
    <col min="9224" max="9224" width="23.5703125" style="412" customWidth="1"/>
    <col min="9225" max="9225" width="24.28515625" style="412" customWidth="1"/>
    <col min="9226" max="9226" width="12.28515625" style="412" customWidth="1"/>
    <col min="9227" max="9227" width="11.28515625" style="412" customWidth="1"/>
    <col min="9228" max="9228" width="8.7109375" style="412" customWidth="1"/>
    <col min="9229" max="9229" width="10.7109375" style="412" customWidth="1"/>
    <col min="9230" max="9230" width="13" style="412" customWidth="1"/>
    <col min="9231" max="9472" width="9.28515625" style="412"/>
    <col min="9473" max="9473" width="6.42578125" style="412" customWidth="1"/>
    <col min="9474" max="9474" width="59" style="412" customWidth="1"/>
    <col min="9475" max="9475" width="21.7109375" style="412" customWidth="1"/>
    <col min="9476" max="9477" width="18.28515625" style="412" customWidth="1"/>
    <col min="9478" max="9478" width="19.28515625" style="412" customWidth="1"/>
    <col min="9479" max="9479" width="0" style="412" hidden="1" customWidth="1"/>
    <col min="9480" max="9480" width="23.5703125" style="412" customWidth="1"/>
    <col min="9481" max="9481" width="24.28515625" style="412" customWidth="1"/>
    <col min="9482" max="9482" width="12.28515625" style="412" customWidth="1"/>
    <col min="9483" max="9483" width="11.28515625" style="412" customWidth="1"/>
    <col min="9484" max="9484" width="8.7109375" style="412" customWidth="1"/>
    <col min="9485" max="9485" width="10.7109375" style="412" customWidth="1"/>
    <col min="9486" max="9486" width="13" style="412" customWidth="1"/>
    <col min="9487" max="9728" width="9.28515625" style="412"/>
    <col min="9729" max="9729" width="6.42578125" style="412" customWidth="1"/>
    <col min="9730" max="9730" width="59" style="412" customWidth="1"/>
    <col min="9731" max="9731" width="21.7109375" style="412" customWidth="1"/>
    <col min="9732" max="9733" width="18.28515625" style="412" customWidth="1"/>
    <col min="9734" max="9734" width="19.28515625" style="412" customWidth="1"/>
    <col min="9735" max="9735" width="0" style="412" hidden="1" customWidth="1"/>
    <col min="9736" max="9736" width="23.5703125" style="412" customWidth="1"/>
    <col min="9737" max="9737" width="24.28515625" style="412" customWidth="1"/>
    <col min="9738" max="9738" width="12.28515625" style="412" customWidth="1"/>
    <col min="9739" max="9739" width="11.28515625" style="412" customWidth="1"/>
    <col min="9740" max="9740" width="8.7109375" style="412" customWidth="1"/>
    <col min="9741" max="9741" width="10.7109375" style="412" customWidth="1"/>
    <col min="9742" max="9742" width="13" style="412" customWidth="1"/>
    <col min="9743" max="9984" width="9.28515625" style="412"/>
    <col min="9985" max="9985" width="6.42578125" style="412" customWidth="1"/>
    <col min="9986" max="9986" width="59" style="412" customWidth="1"/>
    <col min="9987" max="9987" width="21.7109375" style="412" customWidth="1"/>
    <col min="9988" max="9989" width="18.28515625" style="412" customWidth="1"/>
    <col min="9990" max="9990" width="19.28515625" style="412" customWidth="1"/>
    <col min="9991" max="9991" width="0" style="412" hidden="1" customWidth="1"/>
    <col min="9992" max="9992" width="23.5703125" style="412" customWidth="1"/>
    <col min="9993" max="9993" width="24.28515625" style="412" customWidth="1"/>
    <col min="9994" max="9994" width="12.28515625" style="412" customWidth="1"/>
    <col min="9995" max="9995" width="11.28515625" style="412" customWidth="1"/>
    <col min="9996" max="9996" width="8.7109375" style="412" customWidth="1"/>
    <col min="9997" max="9997" width="10.7109375" style="412" customWidth="1"/>
    <col min="9998" max="9998" width="13" style="412" customWidth="1"/>
    <col min="9999" max="10240" width="9.28515625" style="412"/>
    <col min="10241" max="10241" width="6.42578125" style="412" customWidth="1"/>
    <col min="10242" max="10242" width="59" style="412" customWidth="1"/>
    <col min="10243" max="10243" width="21.7109375" style="412" customWidth="1"/>
    <col min="10244" max="10245" width="18.28515625" style="412" customWidth="1"/>
    <col min="10246" max="10246" width="19.28515625" style="412" customWidth="1"/>
    <col min="10247" max="10247" width="0" style="412" hidden="1" customWidth="1"/>
    <col min="10248" max="10248" width="23.5703125" style="412" customWidth="1"/>
    <col min="10249" max="10249" width="24.28515625" style="412" customWidth="1"/>
    <col min="10250" max="10250" width="12.28515625" style="412" customWidth="1"/>
    <col min="10251" max="10251" width="11.28515625" style="412" customWidth="1"/>
    <col min="10252" max="10252" width="8.7109375" style="412" customWidth="1"/>
    <col min="10253" max="10253" width="10.7109375" style="412" customWidth="1"/>
    <col min="10254" max="10254" width="13" style="412" customWidth="1"/>
    <col min="10255" max="10496" width="9.28515625" style="412"/>
    <col min="10497" max="10497" width="6.42578125" style="412" customWidth="1"/>
    <col min="10498" max="10498" width="59" style="412" customWidth="1"/>
    <col min="10499" max="10499" width="21.7109375" style="412" customWidth="1"/>
    <col min="10500" max="10501" width="18.28515625" style="412" customWidth="1"/>
    <col min="10502" max="10502" width="19.28515625" style="412" customWidth="1"/>
    <col min="10503" max="10503" width="0" style="412" hidden="1" customWidth="1"/>
    <col min="10504" max="10504" width="23.5703125" style="412" customWidth="1"/>
    <col min="10505" max="10505" width="24.28515625" style="412" customWidth="1"/>
    <col min="10506" max="10506" width="12.28515625" style="412" customWidth="1"/>
    <col min="10507" max="10507" width="11.28515625" style="412" customWidth="1"/>
    <col min="10508" max="10508" width="8.7109375" style="412" customWidth="1"/>
    <col min="10509" max="10509" width="10.7109375" style="412" customWidth="1"/>
    <col min="10510" max="10510" width="13" style="412" customWidth="1"/>
    <col min="10511" max="10752" width="9.28515625" style="412"/>
    <col min="10753" max="10753" width="6.42578125" style="412" customWidth="1"/>
    <col min="10754" max="10754" width="59" style="412" customWidth="1"/>
    <col min="10755" max="10755" width="21.7109375" style="412" customWidth="1"/>
    <col min="10756" max="10757" width="18.28515625" style="412" customWidth="1"/>
    <col min="10758" max="10758" width="19.28515625" style="412" customWidth="1"/>
    <col min="10759" max="10759" width="0" style="412" hidden="1" customWidth="1"/>
    <col min="10760" max="10760" width="23.5703125" style="412" customWidth="1"/>
    <col min="10761" max="10761" width="24.28515625" style="412" customWidth="1"/>
    <col min="10762" max="10762" width="12.28515625" style="412" customWidth="1"/>
    <col min="10763" max="10763" width="11.28515625" style="412" customWidth="1"/>
    <col min="10764" max="10764" width="8.7109375" style="412" customWidth="1"/>
    <col min="10765" max="10765" width="10.7109375" style="412" customWidth="1"/>
    <col min="10766" max="10766" width="13" style="412" customWidth="1"/>
    <col min="10767" max="11008" width="9.28515625" style="412"/>
    <col min="11009" max="11009" width="6.42578125" style="412" customWidth="1"/>
    <col min="11010" max="11010" width="59" style="412" customWidth="1"/>
    <col min="11011" max="11011" width="21.7109375" style="412" customWidth="1"/>
    <col min="11012" max="11013" width="18.28515625" style="412" customWidth="1"/>
    <col min="11014" max="11014" width="19.28515625" style="412" customWidth="1"/>
    <col min="11015" max="11015" width="0" style="412" hidden="1" customWidth="1"/>
    <col min="11016" max="11016" width="23.5703125" style="412" customWidth="1"/>
    <col min="11017" max="11017" width="24.28515625" style="412" customWidth="1"/>
    <col min="11018" max="11018" width="12.28515625" style="412" customWidth="1"/>
    <col min="11019" max="11019" width="11.28515625" style="412" customWidth="1"/>
    <col min="11020" max="11020" width="8.7109375" style="412" customWidth="1"/>
    <col min="11021" max="11021" width="10.7109375" style="412" customWidth="1"/>
    <col min="11022" max="11022" width="13" style="412" customWidth="1"/>
    <col min="11023" max="11264" width="9.28515625" style="412"/>
    <col min="11265" max="11265" width="6.42578125" style="412" customWidth="1"/>
    <col min="11266" max="11266" width="59" style="412" customWidth="1"/>
    <col min="11267" max="11267" width="21.7109375" style="412" customWidth="1"/>
    <col min="11268" max="11269" width="18.28515625" style="412" customWidth="1"/>
    <col min="11270" max="11270" width="19.28515625" style="412" customWidth="1"/>
    <col min="11271" max="11271" width="0" style="412" hidden="1" customWidth="1"/>
    <col min="11272" max="11272" width="23.5703125" style="412" customWidth="1"/>
    <col min="11273" max="11273" width="24.28515625" style="412" customWidth="1"/>
    <col min="11274" max="11274" width="12.28515625" style="412" customWidth="1"/>
    <col min="11275" max="11275" width="11.28515625" style="412" customWidth="1"/>
    <col min="11276" max="11276" width="8.7109375" style="412" customWidth="1"/>
    <col min="11277" max="11277" width="10.7109375" style="412" customWidth="1"/>
    <col min="11278" max="11278" width="13" style="412" customWidth="1"/>
    <col min="11279" max="11520" width="9.28515625" style="412"/>
    <col min="11521" max="11521" width="6.42578125" style="412" customWidth="1"/>
    <col min="11522" max="11522" width="59" style="412" customWidth="1"/>
    <col min="11523" max="11523" width="21.7109375" style="412" customWidth="1"/>
    <col min="11524" max="11525" width="18.28515625" style="412" customWidth="1"/>
    <col min="11526" max="11526" width="19.28515625" style="412" customWidth="1"/>
    <col min="11527" max="11527" width="0" style="412" hidden="1" customWidth="1"/>
    <col min="11528" max="11528" width="23.5703125" style="412" customWidth="1"/>
    <col min="11529" max="11529" width="24.28515625" style="412" customWidth="1"/>
    <col min="11530" max="11530" width="12.28515625" style="412" customWidth="1"/>
    <col min="11531" max="11531" width="11.28515625" style="412" customWidth="1"/>
    <col min="11532" max="11532" width="8.7109375" style="412" customWidth="1"/>
    <col min="11533" max="11533" width="10.7109375" style="412" customWidth="1"/>
    <col min="11534" max="11534" width="13" style="412" customWidth="1"/>
    <col min="11535" max="11776" width="9.28515625" style="412"/>
    <col min="11777" max="11777" width="6.42578125" style="412" customWidth="1"/>
    <col min="11778" max="11778" width="59" style="412" customWidth="1"/>
    <col min="11779" max="11779" width="21.7109375" style="412" customWidth="1"/>
    <col min="11780" max="11781" width="18.28515625" style="412" customWidth="1"/>
    <col min="11782" max="11782" width="19.28515625" style="412" customWidth="1"/>
    <col min="11783" max="11783" width="0" style="412" hidden="1" customWidth="1"/>
    <col min="11784" max="11784" width="23.5703125" style="412" customWidth="1"/>
    <col min="11785" max="11785" width="24.28515625" style="412" customWidth="1"/>
    <col min="11786" max="11786" width="12.28515625" style="412" customWidth="1"/>
    <col min="11787" max="11787" width="11.28515625" style="412" customWidth="1"/>
    <col min="11788" max="11788" width="8.7109375" style="412" customWidth="1"/>
    <col min="11789" max="11789" width="10.7109375" style="412" customWidth="1"/>
    <col min="11790" max="11790" width="13" style="412" customWidth="1"/>
    <col min="11791" max="12032" width="9.28515625" style="412"/>
    <col min="12033" max="12033" width="6.42578125" style="412" customWidth="1"/>
    <col min="12034" max="12034" width="59" style="412" customWidth="1"/>
    <col min="12035" max="12035" width="21.7109375" style="412" customWidth="1"/>
    <col min="12036" max="12037" width="18.28515625" style="412" customWidth="1"/>
    <col min="12038" max="12038" width="19.28515625" style="412" customWidth="1"/>
    <col min="12039" max="12039" width="0" style="412" hidden="1" customWidth="1"/>
    <col min="12040" max="12040" width="23.5703125" style="412" customWidth="1"/>
    <col min="12041" max="12041" width="24.28515625" style="412" customWidth="1"/>
    <col min="12042" max="12042" width="12.28515625" style="412" customWidth="1"/>
    <col min="12043" max="12043" width="11.28515625" style="412" customWidth="1"/>
    <col min="12044" max="12044" width="8.7109375" style="412" customWidth="1"/>
    <col min="12045" max="12045" width="10.7109375" style="412" customWidth="1"/>
    <col min="12046" max="12046" width="13" style="412" customWidth="1"/>
    <col min="12047" max="12288" width="9.28515625" style="412"/>
    <col min="12289" max="12289" width="6.42578125" style="412" customWidth="1"/>
    <col min="12290" max="12290" width="59" style="412" customWidth="1"/>
    <col min="12291" max="12291" width="21.7109375" style="412" customWidth="1"/>
    <col min="12292" max="12293" width="18.28515625" style="412" customWidth="1"/>
    <col min="12294" max="12294" width="19.28515625" style="412" customWidth="1"/>
    <col min="12295" max="12295" width="0" style="412" hidden="1" customWidth="1"/>
    <col min="12296" max="12296" width="23.5703125" style="412" customWidth="1"/>
    <col min="12297" max="12297" width="24.28515625" style="412" customWidth="1"/>
    <col min="12298" max="12298" width="12.28515625" style="412" customWidth="1"/>
    <col min="12299" max="12299" width="11.28515625" style="412" customWidth="1"/>
    <col min="12300" max="12300" width="8.7109375" style="412" customWidth="1"/>
    <col min="12301" max="12301" width="10.7109375" style="412" customWidth="1"/>
    <col min="12302" max="12302" width="13" style="412" customWidth="1"/>
    <col min="12303" max="12544" width="9.28515625" style="412"/>
    <col min="12545" max="12545" width="6.42578125" style="412" customWidth="1"/>
    <col min="12546" max="12546" width="59" style="412" customWidth="1"/>
    <col min="12547" max="12547" width="21.7109375" style="412" customWidth="1"/>
    <col min="12548" max="12549" width="18.28515625" style="412" customWidth="1"/>
    <col min="12550" max="12550" width="19.28515625" style="412" customWidth="1"/>
    <col min="12551" max="12551" width="0" style="412" hidden="1" customWidth="1"/>
    <col min="12552" max="12552" width="23.5703125" style="412" customWidth="1"/>
    <col min="12553" max="12553" width="24.28515625" style="412" customWidth="1"/>
    <col min="12554" max="12554" width="12.28515625" style="412" customWidth="1"/>
    <col min="12555" max="12555" width="11.28515625" style="412" customWidth="1"/>
    <col min="12556" max="12556" width="8.7109375" style="412" customWidth="1"/>
    <col min="12557" max="12557" width="10.7109375" style="412" customWidth="1"/>
    <col min="12558" max="12558" width="13" style="412" customWidth="1"/>
    <col min="12559" max="12800" width="9.28515625" style="412"/>
    <col min="12801" max="12801" width="6.42578125" style="412" customWidth="1"/>
    <col min="12802" max="12802" width="59" style="412" customWidth="1"/>
    <col min="12803" max="12803" width="21.7109375" style="412" customWidth="1"/>
    <col min="12804" max="12805" width="18.28515625" style="412" customWidth="1"/>
    <col min="12806" max="12806" width="19.28515625" style="412" customWidth="1"/>
    <col min="12807" max="12807" width="0" style="412" hidden="1" customWidth="1"/>
    <col min="12808" max="12808" width="23.5703125" style="412" customWidth="1"/>
    <col min="12809" max="12809" width="24.28515625" style="412" customWidth="1"/>
    <col min="12810" max="12810" width="12.28515625" style="412" customWidth="1"/>
    <col min="12811" max="12811" width="11.28515625" style="412" customWidth="1"/>
    <col min="12812" max="12812" width="8.7109375" style="412" customWidth="1"/>
    <col min="12813" max="12813" width="10.7109375" style="412" customWidth="1"/>
    <col min="12814" max="12814" width="13" style="412" customWidth="1"/>
    <col min="12815" max="13056" width="9.28515625" style="412"/>
    <col min="13057" max="13057" width="6.42578125" style="412" customWidth="1"/>
    <col min="13058" max="13058" width="59" style="412" customWidth="1"/>
    <col min="13059" max="13059" width="21.7109375" style="412" customWidth="1"/>
    <col min="13060" max="13061" width="18.28515625" style="412" customWidth="1"/>
    <col min="13062" max="13062" width="19.28515625" style="412" customWidth="1"/>
    <col min="13063" max="13063" width="0" style="412" hidden="1" customWidth="1"/>
    <col min="13064" max="13064" width="23.5703125" style="412" customWidth="1"/>
    <col min="13065" max="13065" width="24.28515625" style="412" customWidth="1"/>
    <col min="13066" max="13066" width="12.28515625" style="412" customWidth="1"/>
    <col min="13067" max="13067" width="11.28515625" style="412" customWidth="1"/>
    <col min="13068" max="13068" width="8.7109375" style="412" customWidth="1"/>
    <col min="13069" max="13069" width="10.7109375" style="412" customWidth="1"/>
    <col min="13070" max="13070" width="13" style="412" customWidth="1"/>
    <col min="13071" max="13312" width="9.28515625" style="412"/>
    <col min="13313" max="13313" width="6.42578125" style="412" customWidth="1"/>
    <col min="13314" max="13314" width="59" style="412" customWidth="1"/>
    <col min="13315" max="13315" width="21.7109375" style="412" customWidth="1"/>
    <col min="13316" max="13317" width="18.28515625" style="412" customWidth="1"/>
    <col min="13318" max="13318" width="19.28515625" style="412" customWidth="1"/>
    <col min="13319" max="13319" width="0" style="412" hidden="1" customWidth="1"/>
    <col min="13320" max="13320" width="23.5703125" style="412" customWidth="1"/>
    <col min="13321" max="13321" width="24.28515625" style="412" customWidth="1"/>
    <col min="13322" max="13322" width="12.28515625" style="412" customWidth="1"/>
    <col min="13323" max="13323" width="11.28515625" style="412" customWidth="1"/>
    <col min="13324" max="13324" width="8.7109375" style="412" customWidth="1"/>
    <col min="13325" max="13325" width="10.7109375" style="412" customWidth="1"/>
    <col min="13326" max="13326" width="13" style="412" customWidth="1"/>
    <col min="13327" max="13568" width="9.28515625" style="412"/>
    <col min="13569" max="13569" width="6.42578125" style="412" customWidth="1"/>
    <col min="13570" max="13570" width="59" style="412" customWidth="1"/>
    <col min="13571" max="13571" width="21.7109375" style="412" customWidth="1"/>
    <col min="13572" max="13573" width="18.28515625" style="412" customWidth="1"/>
    <col min="13574" max="13574" width="19.28515625" style="412" customWidth="1"/>
    <col min="13575" max="13575" width="0" style="412" hidden="1" customWidth="1"/>
    <col min="13576" max="13576" width="23.5703125" style="412" customWidth="1"/>
    <col min="13577" max="13577" width="24.28515625" style="412" customWidth="1"/>
    <col min="13578" max="13578" width="12.28515625" style="412" customWidth="1"/>
    <col min="13579" max="13579" width="11.28515625" style="412" customWidth="1"/>
    <col min="13580" max="13580" width="8.7109375" style="412" customWidth="1"/>
    <col min="13581" max="13581" width="10.7109375" style="412" customWidth="1"/>
    <col min="13582" max="13582" width="13" style="412" customWidth="1"/>
    <col min="13583" max="13824" width="9.28515625" style="412"/>
    <col min="13825" max="13825" width="6.42578125" style="412" customWidth="1"/>
    <col min="13826" max="13826" width="59" style="412" customWidth="1"/>
    <col min="13827" max="13827" width="21.7109375" style="412" customWidth="1"/>
    <col min="13828" max="13829" width="18.28515625" style="412" customWidth="1"/>
    <col min="13830" max="13830" width="19.28515625" style="412" customWidth="1"/>
    <col min="13831" max="13831" width="0" style="412" hidden="1" customWidth="1"/>
    <col min="13832" max="13832" width="23.5703125" style="412" customWidth="1"/>
    <col min="13833" max="13833" width="24.28515625" style="412" customWidth="1"/>
    <col min="13834" max="13834" width="12.28515625" style="412" customWidth="1"/>
    <col min="13835" max="13835" width="11.28515625" style="412" customWidth="1"/>
    <col min="13836" max="13836" width="8.7109375" style="412" customWidth="1"/>
    <col min="13837" max="13837" width="10.7109375" style="412" customWidth="1"/>
    <col min="13838" max="13838" width="13" style="412" customWidth="1"/>
    <col min="13839" max="14080" width="9.28515625" style="412"/>
    <col min="14081" max="14081" width="6.42578125" style="412" customWidth="1"/>
    <col min="14082" max="14082" width="59" style="412" customWidth="1"/>
    <col min="14083" max="14083" width="21.7109375" style="412" customWidth="1"/>
    <col min="14084" max="14085" width="18.28515625" style="412" customWidth="1"/>
    <col min="14086" max="14086" width="19.28515625" style="412" customWidth="1"/>
    <col min="14087" max="14087" width="0" style="412" hidden="1" customWidth="1"/>
    <col min="14088" max="14088" width="23.5703125" style="412" customWidth="1"/>
    <col min="14089" max="14089" width="24.28515625" style="412" customWidth="1"/>
    <col min="14090" max="14090" width="12.28515625" style="412" customWidth="1"/>
    <col min="14091" max="14091" width="11.28515625" style="412" customWidth="1"/>
    <col min="14092" max="14092" width="8.7109375" style="412" customWidth="1"/>
    <col min="14093" max="14093" width="10.7109375" style="412" customWidth="1"/>
    <col min="14094" max="14094" width="13" style="412" customWidth="1"/>
    <col min="14095" max="14336" width="9.28515625" style="412"/>
    <col min="14337" max="14337" width="6.42578125" style="412" customWidth="1"/>
    <col min="14338" max="14338" width="59" style="412" customWidth="1"/>
    <col min="14339" max="14339" width="21.7109375" style="412" customWidth="1"/>
    <col min="14340" max="14341" width="18.28515625" style="412" customWidth="1"/>
    <col min="14342" max="14342" width="19.28515625" style="412" customWidth="1"/>
    <col min="14343" max="14343" width="0" style="412" hidden="1" customWidth="1"/>
    <col min="14344" max="14344" width="23.5703125" style="412" customWidth="1"/>
    <col min="14345" max="14345" width="24.28515625" style="412" customWidth="1"/>
    <col min="14346" max="14346" width="12.28515625" style="412" customWidth="1"/>
    <col min="14347" max="14347" width="11.28515625" style="412" customWidth="1"/>
    <col min="14348" max="14348" width="8.7109375" style="412" customWidth="1"/>
    <col min="14349" max="14349" width="10.7109375" style="412" customWidth="1"/>
    <col min="14350" max="14350" width="13" style="412" customWidth="1"/>
    <col min="14351" max="14592" width="9.28515625" style="412"/>
    <col min="14593" max="14593" width="6.42578125" style="412" customWidth="1"/>
    <col min="14594" max="14594" width="59" style="412" customWidth="1"/>
    <col min="14595" max="14595" width="21.7109375" style="412" customWidth="1"/>
    <col min="14596" max="14597" width="18.28515625" style="412" customWidth="1"/>
    <col min="14598" max="14598" width="19.28515625" style="412" customWidth="1"/>
    <col min="14599" max="14599" width="0" style="412" hidden="1" customWidth="1"/>
    <col min="14600" max="14600" width="23.5703125" style="412" customWidth="1"/>
    <col min="14601" max="14601" width="24.28515625" style="412" customWidth="1"/>
    <col min="14602" max="14602" width="12.28515625" style="412" customWidth="1"/>
    <col min="14603" max="14603" width="11.28515625" style="412" customWidth="1"/>
    <col min="14604" max="14604" width="8.7109375" style="412" customWidth="1"/>
    <col min="14605" max="14605" width="10.7109375" style="412" customWidth="1"/>
    <col min="14606" max="14606" width="13" style="412" customWidth="1"/>
    <col min="14607" max="14848" width="9.28515625" style="412"/>
    <col min="14849" max="14849" width="6.42578125" style="412" customWidth="1"/>
    <col min="14850" max="14850" width="59" style="412" customWidth="1"/>
    <col min="14851" max="14851" width="21.7109375" style="412" customWidth="1"/>
    <col min="14852" max="14853" width="18.28515625" style="412" customWidth="1"/>
    <col min="14854" max="14854" width="19.28515625" style="412" customWidth="1"/>
    <col min="14855" max="14855" width="0" style="412" hidden="1" customWidth="1"/>
    <col min="14856" max="14856" width="23.5703125" style="412" customWidth="1"/>
    <col min="14857" max="14857" width="24.28515625" style="412" customWidth="1"/>
    <col min="14858" max="14858" width="12.28515625" style="412" customWidth="1"/>
    <col min="14859" max="14859" width="11.28515625" style="412" customWidth="1"/>
    <col min="14860" max="14860" width="8.7109375" style="412" customWidth="1"/>
    <col min="14861" max="14861" width="10.7109375" style="412" customWidth="1"/>
    <col min="14862" max="14862" width="13" style="412" customWidth="1"/>
    <col min="14863" max="15104" width="9.28515625" style="412"/>
    <col min="15105" max="15105" width="6.42578125" style="412" customWidth="1"/>
    <col min="15106" max="15106" width="59" style="412" customWidth="1"/>
    <col min="15107" max="15107" width="21.7109375" style="412" customWidth="1"/>
    <col min="15108" max="15109" width="18.28515625" style="412" customWidth="1"/>
    <col min="15110" max="15110" width="19.28515625" style="412" customWidth="1"/>
    <col min="15111" max="15111" width="0" style="412" hidden="1" customWidth="1"/>
    <col min="15112" max="15112" width="23.5703125" style="412" customWidth="1"/>
    <col min="15113" max="15113" width="24.28515625" style="412" customWidth="1"/>
    <col min="15114" max="15114" width="12.28515625" style="412" customWidth="1"/>
    <col min="15115" max="15115" width="11.28515625" style="412" customWidth="1"/>
    <col min="15116" max="15116" width="8.7109375" style="412" customWidth="1"/>
    <col min="15117" max="15117" width="10.7109375" style="412" customWidth="1"/>
    <col min="15118" max="15118" width="13" style="412" customWidth="1"/>
    <col min="15119" max="15360" width="9.28515625" style="412"/>
    <col min="15361" max="15361" width="6.42578125" style="412" customWidth="1"/>
    <col min="15362" max="15362" width="59" style="412" customWidth="1"/>
    <col min="15363" max="15363" width="21.7109375" style="412" customWidth="1"/>
    <col min="15364" max="15365" width="18.28515625" style="412" customWidth="1"/>
    <col min="15366" max="15366" width="19.28515625" style="412" customWidth="1"/>
    <col min="15367" max="15367" width="0" style="412" hidden="1" customWidth="1"/>
    <col min="15368" max="15368" width="23.5703125" style="412" customWidth="1"/>
    <col min="15369" max="15369" width="24.28515625" style="412" customWidth="1"/>
    <col min="15370" max="15370" width="12.28515625" style="412" customWidth="1"/>
    <col min="15371" max="15371" width="11.28515625" style="412" customWidth="1"/>
    <col min="15372" max="15372" width="8.7109375" style="412" customWidth="1"/>
    <col min="15373" max="15373" width="10.7109375" style="412" customWidth="1"/>
    <col min="15374" max="15374" width="13" style="412" customWidth="1"/>
    <col min="15375" max="15616" width="9.28515625" style="412"/>
    <col min="15617" max="15617" width="6.42578125" style="412" customWidth="1"/>
    <col min="15618" max="15618" width="59" style="412" customWidth="1"/>
    <col min="15619" max="15619" width="21.7109375" style="412" customWidth="1"/>
    <col min="15620" max="15621" width="18.28515625" style="412" customWidth="1"/>
    <col min="15622" max="15622" width="19.28515625" style="412" customWidth="1"/>
    <col min="15623" max="15623" width="0" style="412" hidden="1" customWidth="1"/>
    <col min="15624" max="15624" width="23.5703125" style="412" customWidth="1"/>
    <col min="15625" max="15625" width="24.28515625" style="412" customWidth="1"/>
    <col min="15626" max="15626" width="12.28515625" style="412" customWidth="1"/>
    <col min="15627" max="15627" width="11.28515625" style="412" customWidth="1"/>
    <col min="15628" max="15628" width="8.7109375" style="412" customWidth="1"/>
    <col min="15629" max="15629" width="10.7109375" style="412" customWidth="1"/>
    <col min="15630" max="15630" width="13" style="412" customWidth="1"/>
    <col min="15631" max="15872" width="9.28515625" style="412"/>
    <col min="15873" max="15873" width="6.42578125" style="412" customWidth="1"/>
    <col min="15874" max="15874" width="59" style="412" customWidth="1"/>
    <col min="15875" max="15875" width="21.7109375" style="412" customWidth="1"/>
    <col min="15876" max="15877" width="18.28515625" style="412" customWidth="1"/>
    <col min="15878" max="15878" width="19.28515625" style="412" customWidth="1"/>
    <col min="15879" max="15879" width="0" style="412" hidden="1" customWidth="1"/>
    <col min="15880" max="15880" width="23.5703125" style="412" customWidth="1"/>
    <col min="15881" max="15881" width="24.28515625" style="412" customWidth="1"/>
    <col min="15882" max="15882" width="12.28515625" style="412" customWidth="1"/>
    <col min="15883" max="15883" width="11.28515625" style="412" customWidth="1"/>
    <col min="15884" max="15884" width="8.7109375" style="412" customWidth="1"/>
    <col min="15885" max="15885" width="10.7109375" style="412" customWidth="1"/>
    <col min="15886" max="15886" width="13" style="412" customWidth="1"/>
    <col min="15887" max="16128" width="9.28515625" style="412"/>
    <col min="16129" max="16129" width="6.42578125" style="412" customWidth="1"/>
    <col min="16130" max="16130" width="59" style="412" customWidth="1"/>
    <col min="16131" max="16131" width="21.7109375" style="412" customWidth="1"/>
    <col min="16132" max="16133" width="18.28515625" style="412" customWidth="1"/>
    <col min="16134" max="16134" width="19.28515625" style="412" customWidth="1"/>
    <col min="16135" max="16135" width="0" style="412" hidden="1" customWidth="1"/>
    <col min="16136" max="16136" width="23.5703125" style="412" customWidth="1"/>
    <col min="16137" max="16137" width="24.28515625" style="412" customWidth="1"/>
    <col min="16138" max="16138" width="12.28515625" style="412" customWidth="1"/>
    <col min="16139" max="16139" width="11.28515625" style="412" customWidth="1"/>
    <col min="16140" max="16140" width="8.7109375" style="412" customWidth="1"/>
    <col min="16141" max="16141" width="10.7109375" style="412" customWidth="1"/>
    <col min="16142" max="16142" width="13" style="412" customWidth="1"/>
    <col min="16143" max="16384" width="9.28515625" style="412"/>
  </cols>
  <sheetData>
    <row r="1" spans="1:14" ht="20.25" customHeight="1">
      <c r="E1" s="1986" t="s">
        <v>872</v>
      </c>
      <c r="F1" s="1986"/>
    </row>
    <row r="2" spans="1:14" ht="32.25" customHeight="1">
      <c r="A2" s="1984" t="s">
        <v>899</v>
      </c>
      <c r="B2" s="1984"/>
      <c r="C2" s="1984"/>
      <c r="D2" s="1984"/>
      <c r="E2" s="1984"/>
      <c r="F2" s="1984"/>
    </row>
    <row r="3" spans="1:14" ht="15" customHeight="1">
      <c r="D3" s="1987" t="s">
        <v>205</v>
      </c>
      <c r="E3" s="1987"/>
      <c r="F3" s="1987"/>
    </row>
    <row r="4" spans="1:14" s="421" customFormat="1" ht="42" customHeight="1">
      <c r="A4" s="418" t="s">
        <v>291</v>
      </c>
      <c r="B4" s="418" t="s">
        <v>443</v>
      </c>
      <c r="C4" s="418" t="s">
        <v>713</v>
      </c>
      <c r="D4" s="418" t="s">
        <v>714</v>
      </c>
      <c r="E4" s="419" t="s">
        <v>715</v>
      </c>
      <c r="F4" s="432" t="s">
        <v>716</v>
      </c>
      <c r="G4" s="433"/>
      <c r="K4" s="828"/>
      <c r="L4" s="828"/>
      <c r="M4" s="820"/>
      <c r="N4" s="828"/>
    </row>
    <row r="5" spans="1:14" s="806" customFormat="1" ht="22.5" customHeight="1">
      <c r="A5" s="811" t="s">
        <v>294</v>
      </c>
      <c r="B5" s="811" t="s">
        <v>295</v>
      </c>
      <c r="C5" s="811" t="s">
        <v>229</v>
      </c>
      <c r="D5" s="811" t="s">
        <v>379</v>
      </c>
      <c r="E5" s="812">
        <v>1</v>
      </c>
      <c r="F5" s="811">
        <v>2</v>
      </c>
      <c r="G5" s="813"/>
      <c r="K5" s="821"/>
      <c r="L5" s="821"/>
      <c r="M5" s="821"/>
      <c r="N5" s="821"/>
    </row>
    <row r="6" spans="1:14" s="438" customFormat="1" ht="32.25" customHeight="1">
      <c r="A6" s="434" t="s">
        <v>294</v>
      </c>
      <c r="B6" s="435" t="s">
        <v>717</v>
      </c>
      <c r="C6" s="435"/>
      <c r="D6" s="435"/>
      <c r="E6" s="680">
        <f>SUM(E7:E8)</f>
        <v>12061.705203000001</v>
      </c>
      <c r="F6" s="681"/>
      <c r="G6" s="437">
        <f>+E6-F23</f>
        <v>11722.487635000001</v>
      </c>
      <c r="H6" s="678">
        <v>12061.704352999999</v>
      </c>
      <c r="I6" s="679">
        <f>+E6-H6</f>
        <v>8.5000000217405614E-4</v>
      </c>
      <c r="K6" s="829"/>
      <c r="L6" s="829"/>
      <c r="M6" s="822"/>
      <c r="N6" s="829"/>
    </row>
    <row r="7" spans="1:14" s="443" customFormat="1" ht="45">
      <c r="A7" s="439" t="s">
        <v>439</v>
      </c>
      <c r="B7" s="440" t="s">
        <v>718</v>
      </c>
      <c r="C7" s="441"/>
      <c r="D7" s="425" t="s">
        <v>719</v>
      </c>
      <c r="E7" s="682">
        <v>5075.4802140000002</v>
      </c>
      <c r="F7" s="683"/>
      <c r="G7" s="442">
        <v>5075.4802140000002</v>
      </c>
      <c r="H7" s="449" t="e">
        <f>+#REF!</f>
        <v>#REF!</v>
      </c>
      <c r="K7" s="830"/>
      <c r="L7" s="830"/>
      <c r="M7" s="823"/>
      <c r="N7" s="830"/>
    </row>
    <row r="8" spans="1:14" s="443" customFormat="1" ht="22.5" customHeight="1">
      <c r="A8" s="439" t="s">
        <v>270</v>
      </c>
      <c r="B8" s="441" t="s">
        <v>720</v>
      </c>
      <c r="C8" s="444"/>
      <c r="D8" s="445"/>
      <c r="E8" s="682">
        <v>6986.2249890000003</v>
      </c>
      <c r="F8" s="683"/>
      <c r="G8" s="442">
        <v>6986.2241389999999</v>
      </c>
      <c r="H8" s="674">
        <f>+E8-G8</f>
        <v>8.5000000035506673E-4</v>
      </c>
      <c r="I8" s="449">
        <f>+E8-H8</f>
        <v>6986.2241389999999</v>
      </c>
      <c r="K8" s="830"/>
      <c r="L8" s="830"/>
      <c r="M8" s="823"/>
      <c r="N8" s="830"/>
    </row>
    <row r="9" spans="1:14" s="443" customFormat="1" ht="27" customHeight="1">
      <c r="A9" s="446" t="s">
        <v>295</v>
      </c>
      <c r="B9" s="447" t="s">
        <v>721</v>
      </c>
      <c r="C9" s="448"/>
      <c r="D9" s="434"/>
      <c r="E9" s="680">
        <f>+E10+E16</f>
        <v>8965.4802139999993</v>
      </c>
      <c r="F9" s="680">
        <f>+F10+F16</f>
        <v>7535.4441630000001</v>
      </c>
      <c r="G9" s="436">
        <f>+G10+G16</f>
        <v>7196.1728612139996</v>
      </c>
      <c r="H9" s="449">
        <v>7196.2265950000001</v>
      </c>
      <c r="I9" s="449">
        <f>+H9-G9</f>
        <v>5.3733786000520922E-2</v>
      </c>
      <c r="K9" s="830"/>
      <c r="L9" s="830"/>
      <c r="M9" s="823"/>
      <c r="N9" s="830"/>
    </row>
    <row r="10" spans="1:14" s="443" customFormat="1" ht="34.5" customHeight="1">
      <c r="A10" s="450" t="s">
        <v>439</v>
      </c>
      <c r="B10" s="451" t="s">
        <v>900</v>
      </c>
      <c r="C10" s="452"/>
      <c r="D10" s="1988" t="s">
        <v>722</v>
      </c>
      <c r="E10" s="684">
        <f>SUM(E11:E15)</f>
        <v>5075.4802140000002</v>
      </c>
      <c r="F10" s="684">
        <f>SUM(F11:F15)</f>
        <v>3756.7265949999996</v>
      </c>
      <c r="G10" s="453">
        <f>SUM(G11:G15)</f>
        <v>3756.6728612139996</v>
      </c>
      <c r="H10" s="675">
        <f>+F10-F14-F15+F16-F23</f>
        <v>6852.5625949999994</v>
      </c>
      <c r="I10" s="443">
        <v>6852.5625950000003</v>
      </c>
      <c r="J10" s="675">
        <f>+H10-I10</f>
        <v>0</v>
      </c>
      <c r="K10" s="830"/>
      <c r="L10" s="830"/>
      <c r="M10" s="823"/>
      <c r="N10" s="830"/>
    </row>
    <row r="11" spans="1:14" s="443" customFormat="1" ht="38.25" customHeight="1">
      <c r="A11" s="454"/>
      <c r="B11" s="455" t="s">
        <v>672</v>
      </c>
      <c r="C11" s="1990" t="s">
        <v>723</v>
      </c>
      <c r="D11" s="1988"/>
      <c r="E11" s="684">
        <v>1840</v>
      </c>
      <c r="F11" s="684">
        <f>+E11-I11</f>
        <v>1340.5823809999999</v>
      </c>
      <c r="G11" s="456">
        <v>1340.5283810000001</v>
      </c>
      <c r="H11" s="677">
        <f>+E11-F11</f>
        <v>499.41761900000006</v>
      </c>
      <c r="I11" s="443">
        <v>499.417619</v>
      </c>
      <c r="K11" s="830"/>
      <c r="L11" s="830"/>
      <c r="M11" s="823"/>
      <c r="N11" s="830"/>
    </row>
    <row r="12" spans="1:14" s="443" customFormat="1" ht="38.25" customHeight="1">
      <c r="A12" s="454"/>
      <c r="B12" s="455" t="s">
        <v>626</v>
      </c>
      <c r="C12" s="1988"/>
      <c r="D12" s="1988"/>
      <c r="E12" s="684">
        <v>1935.4802139999999</v>
      </c>
      <c r="F12" s="684">
        <f>+E12-I12</f>
        <v>1172.4802139999999</v>
      </c>
      <c r="G12" s="456">
        <v>1172.480480214</v>
      </c>
      <c r="H12" s="677">
        <f>+E12-F12</f>
        <v>763</v>
      </c>
      <c r="I12" s="676">
        <v>763</v>
      </c>
      <c r="J12" s="449">
        <f>+I12-H12</f>
        <v>0</v>
      </c>
      <c r="K12" s="830"/>
      <c r="L12" s="830"/>
      <c r="M12" s="823"/>
      <c r="N12" s="830"/>
    </row>
    <row r="13" spans="1:14" s="443" customFormat="1" ht="38.25" customHeight="1">
      <c r="A13" s="454"/>
      <c r="B13" s="455" t="s">
        <v>724</v>
      </c>
      <c r="C13" s="1989"/>
      <c r="D13" s="1989"/>
      <c r="E13" s="684">
        <v>900</v>
      </c>
      <c r="F13" s="684">
        <v>900</v>
      </c>
      <c r="G13" s="456">
        <f>+F13</f>
        <v>900</v>
      </c>
      <c r="H13" s="449">
        <f>+E13-F13</f>
        <v>0</v>
      </c>
      <c r="K13" s="830"/>
      <c r="L13" s="830"/>
      <c r="M13" s="823"/>
      <c r="N13" s="830"/>
    </row>
    <row r="14" spans="1:14" s="443" customFormat="1" ht="54" customHeight="1">
      <c r="A14" s="454"/>
      <c r="B14" s="400" t="s">
        <v>681</v>
      </c>
      <c r="C14" s="1990" t="s">
        <v>725</v>
      </c>
      <c r="D14" s="454" t="s">
        <v>726</v>
      </c>
      <c r="E14" s="684">
        <v>200</v>
      </c>
      <c r="F14" s="684">
        <v>171.83199999999999</v>
      </c>
      <c r="G14" s="456">
        <f>+F14</f>
        <v>171.83199999999999</v>
      </c>
      <c r="H14" s="449">
        <f>+E14-F14</f>
        <v>28.168000000000006</v>
      </c>
      <c r="K14" s="830"/>
      <c r="L14" s="830"/>
      <c r="M14" s="823"/>
      <c r="N14" s="830"/>
    </row>
    <row r="15" spans="1:14" s="443" customFormat="1" ht="54" customHeight="1">
      <c r="A15" s="454"/>
      <c r="B15" s="400" t="s">
        <v>727</v>
      </c>
      <c r="C15" s="1989"/>
      <c r="D15" s="454" t="s">
        <v>728</v>
      </c>
      <c r="E15" s="684">
        <v>200</v>
      </c>
      <c r="F15" s="684">
        <v>171.83199999999999</v>
      </c>
      <c r="G15" s="456">
        <f>+F15</f>
        <v>171.83199999999999</v>
      </c>
      <c r="H15" s="449">
        <f>+E15-F15</f>
        <v>28.168000000000006</v>
      </c>
      <c r="K15" s="830"/>
      <c r="L15" s="830"/>
      <c r="M15" s="823"/>
      <c r="N15" s="830"/>
    </row>
    <row r="16" spans="1:14" s="443" customFormat="1" ht="27.75" customHeight="1">
      <c r="A16" s="457" t="s">
        <v>270</v>
      </c>
      <c r="B16" s="458" t="s">
        <v>729</v>
      </c>
      <c r="C16" s="459"/>
      <c r="D16" s="460"/>
      <c r="E16" s="685">
        <f>+E17+E23</f>
        <v>3890</v>
      </c>
      <c r="F16" s="685">
        <f>+F17+F23</f>
        <v>3778.717568</v>
      </c>
      <c r="G16" s="461">
        <f>+G17+G23</f>
        <v>3439.5</v>
      </c>
      <c r="H16" s="449"/>
      <c r="I16" s="449">
        <f>+F17+F13+F12+F11</f>
        <v>6852.5625950000003</v>
      </c>
      <c r="K16" s="830"/>
      <c r="L16" s="830"/>
      <c r="M16" s="823"/>
      <c r="N16" s="830"/>
    </row>
    <row r="17" spans="1:14" s="443" customFormat="1" ht="27.75" customHeight="1">
      <c r="A17" s="457" t="s">
        <v>227</v>
      </c>
      <c r="B17" s="458" t="s">
        <v>59</v>
      </c>
      <c r="C17" s="459"/>
      <c r="D17" s="460"/>
      <c r="E17" s="685">
        <f>SUM(E18:E22)</f>
        <v>3439.5</v>
      </c>
      <c r="F17" s="685">
        <f>SUM(F18:F22)</f>
        <v>3439.5</v>
      </c>
      <c r="G17" s="462">
        <f>+F17</f>
        <v>3439.5</v>
      </c>
      <c r="I17" s="449">
        <f>+I16+F15+F14</f>
        <v>7196.226595000001</v>
      </c>
      <c r="K17" s="830"/>
      <c r="L17" s="830"/>
      <c r="M17" s="823"/>
      <c r="N17" s="830"/>
    </row>
    <row r="18" spans="1:14" s="443" customFormat="1" ht="39.75" customHeight="1">
      <c r="A18" s="399">
        <v>1</v>
      </c>
      <c r="B18" s="182" t="s">
        <v>520</v>
      </c>
      <c r="C18" s="1990" t="s">
        <v>696</v>
      </c>
      <c r="D18" s="1991" t="s">
        <v>722</v>
      </c>
      <c r="E18" s="686">
        <v>500</v>
      </c>
      <c r="F18" s="686">
        <v>500</v>
      </c>
      <c r="G18" s="463"/>
      <c r="K18" s="830"/>
      <c r="L18" s="830"/>
      <c r="M18" s="823"/>
      <c r="N18" s="830"/>
    </row>
    <row r="19" spans="1:14" s="443" customFormat="1" ht="31.5">
      <c r="A19" s="399">
        <v>2</v>
      </c>
      <c r="B19" s="182" t="s">
        <v>521</v>
      </c>
      <c r="C19" s="1988"/>
      <c r="D19" s="1992"/>
      <c r="E19" s="686">
        <v>1028.6940999999999</v>
      </c>
      <c r="F19" s="686">
        <f>+E19</f>
        <v>1028.6940999999999</v>
      </c>
      <c r="G19" s="463"/>
      <c r="K19" s="830"/>
      <c r="L19" s="830"/>
      <c r="M19" s="823"/>
      <c r="N19" s="830"/>
    </row>
    <row r="20" spans="1:14" s="443" customFormat="1" ht="36" customHeight="1">
      <c r="A20" s="399">
        <v>3</v>
      </c>
      <c r="B20" s="182" t="s">
        <v>522</v>
      </c>
      <c r="C20" s="1988"/>
      <c r="D20" s="1992"/>
      <c r="E20" s="686">
        <v>490.74290000000002</v>
      </c>
      <c r="F20" s="686">
        <v>490.74290000000002</v>
      </c>
      <c r="G20" s="463"/>
      <c r="K20" s="830"/>
      <c r="L20" s="830"/>
      <c r="M20" s="823"/>
      <c r="N20" s="830"/>
    </row>
    <row r="21" spans="1:14" s="443" customFormat="1" ht="36" customHeight="1">
      <c r="A21" s="399">
        <v>4</v>
      </c>
      <c r="B21" s="464" t="s">
        <v>730</v>
      </c>
      <c r="C21" s="1988"/>
      <c r="D21" s="1992"/>
      <c r="E21" s="686">
        <v>800</v>
      </c>
      <c r="F21" s="686">
        <v>800</v>
      </c>
      <c r="G21" s="463"/>
      <c r="K21" s="830"/>
      <c r="L21" s="830"/>
      <c r="M21" s="823"/>
      <c r="N21" s="830"/>
    </row>
    <row r="22" spans="1:14" s="443" customFormat="1" ht="42" customHeight="1">
      <c r="A22" s="399">
        <v>5</v>
      </c>
      <c r="B22" s="182" t="s">
        <v>592</v>
      </c>
      <c r="C22" s="1989"/>
      <c r="D22" s="1993"/>
      <c r="E22" s="686">
        <v>620.06299999999999</v>
      </c>
      <c r="F22" s="686">
        <v>620.06299999999999</v>
      </c>
      <c r="G22" s="463"/>
      <c r="K22" s="830"/>
      <c r="L22" s="830"/>
      <c r="M22" s="823"/>
      <c r="N22" s="830"/>
    </row>
    <row r="23" spans="1:14" s="443" customFormat="1" ht="22.5" customHeight="1">
      <c r="A23" s="457" t="s">
        <v>228</v>
      </c>
      <c r="B23" s="465" t="s">
        <v>731</v>
      </c>
      <c r="C23" s="466"/>
      <c r="D23" s="454"/>
      <c r="E23" s="685">
        <f>SUM(E24:E25)</f>
        <v>450.5</v>
      </c>
      <c r="F23" s="685">
        <f>SUM(F24:F25)</f>
        <v>339.21756800000003</v>
      </c>
      <c r="G23" s="462"/>
      <c r="H23" s="449"/>
      <c r="K23" s="830"/>
      <c r="L23" s="830"/>
      <c r="M23" s="823"/>
      <c r="N23" s="830"/>
    </row>
    <row r="24" spans="1:14" s="443" customFormat="1" ht="22.5" customHeight="1">
      <c r="A24" s="454" t="s">
        <v>60</v>
      </c>
      <c r="B24" s="467" t="s">
        <v>732</v>
      </c>
      <c r="C24" s="468"/>
      <c r="D24" s="1994" t="s">
        <v>733</v>
      </c>
      <c r="E24" s="687">
        <v>250.5</v>
      </c>
      <c r="F24" s="687">
        <f>+E24</f>
        <v>250.5</v>
      </c>
      <c r="G24" s="469"/>
      <c r="K24" s="830"/>
      <c r="L24" s="830"/>
      <c r="M24" s="823"/>
      <c r="N24" s="830"/>
    </row>
    <row r="25" spans="1:14" s="443" customFormat="1" ht="22.5" customHeight="1">
      <c r="A25" s="454" t="s">
        <v>60</v>
      </c>
      <c r="B25" s="467" t="s">
        <v>734</v>
      </c>
      <c r="C25" s="468"/>
      <c r="D25" s="1994"/>
      <c r="E25" s="687">
        <v>200</v>
      </c>
      <c r="F25" s="687">
        <v>88.717568</v>
      </c>
      <c r="G25" s="469"/>
      <c r="K25" s="830"/>
      <c r="L25" s="830"/>
      <c r="M25" s="823"/>
      <c r="N25" s="830"/>
    </row>
    <row r="26" spans="1:14" s="475" customFormat="1" ht="22.5" customHeight="1">
      <c r="A26" s="470" t="s">
        <v>229</v>
      </c>
      <c r="B26" s="471" t="s">
        <v>735</v>
      </c>
      <c r="C26" s="471"/>
      <c r="D26" s="471"/>
      <c r="E26" s="688">
        <f>+E6-F9</f>
        <v>4526.2610400000012</v>
      </c>
      <c r="F26" s="689"/>
      <c r="G26" s="472"/>
      <c r="H26" s="473"/>
      <c r="I26" s="474"/>
      <c r="K26" s="831"/>
      <c r="L26" s="831"/>
      <c r="M26" s="824"/>
      <c r="N26" s="832"/>
    </row>
    <row r="27" spans="1:14" s="443" customFormat="1" ht="22.5" customHeight="1">
      <c r="A27" s="476">
        <v>1</v>
      </c>
      <c r="B27" s="477" t="s">
        <v>736</v>
      </c>
      <c r="C27" s="477"/>
      <c r="D27" s="477"/>
      <c r="E27" s="669">
        <v>3153.843421</v>
      </c>
      <c r="F27" s="687"/>
      <c r="G27" s="478"/>
      <c r="H27" s="479"/>
      <c r="K27" s="833"/>
      <c r="L27" s="833"/>
      <c r="M27" s="824"/>
      <c r="N27" s="830"/>
    </row>
    <row r="28" spans="1:14" s="443" customFormat="1" ht="22.5" customHeight="1">
      <c r="A28" s="480">
        <v>2</v>
      </c>
      <c r="B28" s="481" t="s">
        <v>737</v>
      </c>
      <c r="C28" s="481"/>
      <c r="D28" s="481"/>
      <c r="E28" s="670">
        <f>+E26-E27-E29</f>
        <v>1262.4176190000012</v>
      </c>
      <c r="F28" s="690"/>
      <c r="G28" s="478"/>
      <c r="H28" s="479"/>
      <c r="K28" s="833"/>
      <c r="L28" s="833"/>
      <c r="M28" s="824"/>
      <c r="N28" s="830"/>
    </row>
    <row r="29" spans="1:14" s="443" customFormat="1" ht="22.5" customHeight="1">
      <c r="A29" s="482">
        <v>3</v>
      </c>
      <c r="B29" s="483" t="s">
        <v>738</v>
      </c>
      <c r="C29" s="483"/>
      <c r="D29" s="483"/>
      <c r="E29" s="671">
        <v>110</v>
      </c>
      <c r="F29" s="691"/>
      <c r="G29" s="478"/>
      <c r="H29" s="479"/>
      <c r="K29" s="833"/>
      <c r="L29" s="833"/>
      <c r="M29" s="824"/>
      <c r="N29" s="830"/>
    </row>
    <row r="30" spans="1:14" s="421" customFormat="1" ht="15.75">
      <c r="A30" s="398"/>
      <c r="B30" s="28"/>
      <c r="C30" s="1778" t="s">
        <v>686</v>
      </c>
      <c r="D30" s="1778"/>
      <c r="E30" s="1778"/>
      <c r="F30" s="1778"/>
      <c r="H30" s="484"/>
      <c r="K30" s="834"/>
      <c r="L30" s="834"/>
      <c r="M30" s="825"/>
      <c r="N30" s="834"/>
    </row>
    <row r="31" spans="1:14" ht="18.75">
      <c r="A31" s="1779" t="s">
        <v>382</v>
      </c>
      <c r="B31" s="1779"/>
      <c r="C31" s="1779" t="s">
        <v>532</v>
      </c>
      <c r="D31" s="1779"/>
      <c r="E31" s="1779"/>
      <c r="F31" s="1779"/>
      <c r="H31" s="485"/>
      <c r="K31" s="835"/>
      <c r="L31" s="835"/>
      <c r="M31" s="826"/>
      <c r="N31" s="835"/>
    </row>
    <row r="32" spans="1:14" ht="15.75">
      <c r="A32" s="1778" t="s">
        <v>383</v>
      </c>
      <c r="B32" s="1778"/>
      <c r="C32" s="1778" t="s">
        <v>141</v>
      </c>
      <c r="D32" s="1778"/>
      <c r="E32" s="1778"/>
      <c r="F32" s="1778"/>
      <c r="G32" s="668"/>
      <c r="H32" s="668"/>
      <c r="I32" s="668">
        <v>56336000</v>
      </c>
      <c r="K32" s="835"/>
      <c r="L32" s="835"/>
      <c r="M32" s="826"/>
      <c r="N32" s="835"/>
    </row>
    <row r="33" spans="1:14" ht="15">
      <c r="A33" s="28"/>
      <c r="B33" s="28"/>
      <c r="C33" s="215"/>
      <c r="D33" s="28"/>
      <c r="E33" s="28"/>
      <c r="F33" s="28"/>
      <c r="K33" s="835"/>
      <c r="L33" s="835"/>
      <c r="M33" s="826"/>
      <c r="N33" s="835"/>
    </row>
    <row r="34" spans="1:14" ht="15">
      <c r="A34" s="28"/>
      <c r="B34" s="28"/>
      <c r="C34" s="215"/>
      <c r="D34" s="28"/>
      <c r="E34" s="28"/>
      <c r="F34" s="28"/>
      <c r="K34" s="835"/>
      <c r="L34" s="835"/>
      <c r="M34" s="826"/>
      <c r="N34" s="835"/>
    </row>
    <row r="35" spans="1:14" ht="15">
      <c r="A35" s="28"/>
      <c r="B35" s="28"/>
      <c r="C35" s="215"/>
      <c r="D35" s="28"/>
      <c r="E35" s="28"/>
      <c r="F35" s="28"/>
      <c r="K35" s="835"/>
      <c r="L35" s="835"/>
      <c r="M35" s="826"/>
      <c r="N35" s="835"/>
    </row>
    <row r="36" spans="1:14" ht="30" customHeight="1">
      <c r="A36" s="28"/>
      <c r="B36" s="28"/>
      <c r="C36" s="215"/>
      <c r="D36" s="28"/>
      <c r="E36" s="28"/>
      <c r="F36" s="28"/>
      <c r="K36" s="835"/>
      <c r="L36" s="835"/>
      <c r="M36" s="826"/>
      <c r="N36" s="835"/>
    </row>
    <row r="37" spans="1:14" ht="15">
      <c r="A37" s="28"/>
      <c r="B37" s="28"/>
      <c r="C37" s="215"/>
      <c r="D37" s="28"/>
      <c r="E37" s="28"/>
      <c r="F37" s="28"/>
      <c r="K37" s="835"/>
      <c r="L37" s="835"/>
      <c r="M37" s="826"/>
      <c r="N37" s="835"/>
    </row>
    <row r="38" spans="1:14" ht="15">
      <c r="A38" s="28"/>
      <c r="B38" s="28"/>
      <c r="C38" s="215"/>
      <c r="D38" s="28"/>
      <c r="E38" s="28"/>
      <c r="F38" s="28"/>
      <c r="K38" s="835"/>
      <c r="L38" s="835"/>
      <c r="M38" s="826"/>
      <c r="N38" s="835"/>
    </row>
    <row r="39" spans="1:14" ht="18.75">
      <c r="A39" s="1983" t="s">
        <v>488</v>
      </c>
      <c r="B39" s="1983"/>
      <c r="C39" s="1983" t="s">
        <v>513</v>
      </c>
      <c r="D39" s="1983"/>
      <c r="E39" s="1983"/>
      <c r="F39" s="1983"/>
      <c r="K39" s="835"/>
      <c r="L39" s="835"/>
      <c r="M39" s="826"/>
      <c r="N39" s="835"/>
    </row>
    <row r="40" spans="1:14">
      <c r="K40" s="835"/>
      <c r="L40" s="835"/>
      <c r="M40" s="826"/>
      <c r="N40" s="835"/>
    </row>
    <row r="41" spans="1:14">
      <c r="K41" s="835"/>
      <c r="L41" s="835"/>
      <c r="M41" s="826"/>
      <c r="N41" s="835"/>
    </row>
    <row r="42" spans="1:14">
      <c r="K42" s="835"/>
      <c r="L42" s="835"/>
      <c r="M42" s="826"/>
      <c r="N42" s="835"/>
    </row>
    <row r="43" spans="1:14">
      <c r="K43" s="835"/>
      <c r="L43" s="835"/>
      <c r="M43" s="826"/>
      <c r="N43" s="835"/>
    </row>
    <row r="44" spans="1:14">
      <c r="K44" s="835"/>
      <c r="L44" s="835"/>
      <c r="M44" s="826"/>
      <c r="N44" s="835"/>
    </row>
    <row r="45" spans="1:14">
      <c r="K45" s="835"/>
      <c r="L45" s="835"/>
      <c r="M45" s="826"/>
      <c r="N45" s="835"/>
    </row>
    <row r="46" spans="1:14">
      <c r="K46" s="835"/>
      <c r="L46" s="835"/>
      <c r="M46" s="826"/>
      <c r="N46" s="835"/>
    </row>
    <row r="47" spans="1:14">
      <c r="K47" s="835"/>
      <c r="L47" s="835"/>
      <c r="M47" s="826"/>
      <c r="N47" s="835"/>
    </row>
    <row r="48" spans="1:14">
      <c r="K48" s="835"/>
      <c r="L48" s="835"/>
      <c r="M48" s="826"/>
      <c r="N48" s="835"/>
    </row>
    <row r="49" spans="11:14">
      <c r="K49" s="835"/>
      <c r="L49" s="835"/>
      <c r="M49" s="826"/>
      <c r="N49" s="835"/>
    </row>
    <row r="50" spans="11:14">
      <c r="K50" s="835"/>
      <c r="L50" s="835"/>
      <c r="M50" s="826"/>
      <c r="N50" s="835"/>
    </row>
  </sheetData>
  <mergeCells count="16">
    <mergeCell ref="E1:F1"/>
    <mergeCell ref="D3:F3"/>
    <mergeCell ref="C30:F30"/>
    <mergeCell ref="A31:B31"/>
    <mergeCell ref="C31:F31"/>
    <mergeCell ref="D10:D13"/>
    <mergeCell ref="C11:C13"/>
    <mergeCell ref="C14:C15"/>
    <mergeCell ref="C18:C22"/>
    <mergeCell ref="D18:D22"/>
    <mergeCell ref="D24:D25"/>
    <mergeCell ref="A32:B32"/>
    <mergeCell ref="C32:F32"/>
    <mergeCell ref="A39:B39"/>
    <mergeCell ref="C39:F39"/>
    <mergeCell ref="A2:F2"/>
  </mergeCells>
  <pageMargins left="0.39" right="0.16" top="0.66" bottom="0.21" header="0.3" footer="0.2"/>
  <pageSetup paperSize="9" orientation="landscape"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2"/>
  <dimension ref="A1:O39"/>
  <sheetViews>
    <sheetView topLeftCell="A4" workbookViewId="0">
      <selection activeCell="U17" sqref="U17"/>
    </sheetView>
  </sheetViews>
  <sheetFormatPr defaultRowHeight="12.75"/>
  <cols>
    <col min="1" max="1" width="5.42578125" style="412" customWidth="1"/>
    <col min="2" max="2" width="45.7109375" style="412" customWidth="1"/>
    <col min="3" max="3" width="33.28515625" style="412" customWidth="1"/>
    <col min="4" max="5" width="20.28515625" style="412" customWidth="1"/>
    <col min="6" max="6" width="20.28515625" style="412" hidden="1" customWidth="1"/>
    <col min="7" max="7" width="20.28515625" style="412" customWidth="1"/>
    <col min="8" max="8" width="22.28515625" style="487" hidden="1" customWidth="1"/>
    <col min="9" max="9" width="21.28515625" style="412" hidden="1" customWidth="1"/>
    <col min="10" max="10" width="20.7109375" style="412" hidden="1" customWidth="1"/>
    <col min="11" max="11" width="13" style="412" hidden="1" customWidth="1"/>
    <col min="12" max="12" width="0" style="412" hidden="1" customWidth="1"/>
    <col min="13" max="13" width="11.5703125" style="412" bestFit="1" customWidth="1"/>
    <col min="14" max="14" width="9.5703125" style="412" bestFit="1" customWidth="1"/>
    <col min="15" max="256" width="9.28515625" style="412"/>
    <col min="257" max="257" width="5.42578125" style="412" customWidth="1"/>
    <col min="258" max="258" width="45.7109375" style="412" customWidth="1"/>
    <col min="259" max="259" width="35.28515625" style="412" customWidth="1"/>
    <col min="260" max="261" width="20.28515625" style="412" customWidth="1"/>
    <col min="262" max="262" width="0" style="412" hidden="1" customWidth="1"/>
    <col min="263" max="263" width="20.28515625" style="412" customWidth="1"/>
    <col min="264" max="268" width="0" style="412" hidden="1" customWidth="1"/>
    <col min="269" max="512" width="9.28515625" style="412"/>
    <col min="513" max="513" width="5.42578125" style="412" customWidth="1"/>
    <col min="514" max="514" width="45.7109375" style="412" customWidth="1"/>
    <col min="515" max="515" width="35.28515625" style="412" customWidth="1"/>
    <col min="516" max="517" width="20.28515625" style="412" customWidth="1"/>
    <col min="518" max="518" width="0" style="412" hidden="1" customWidth="1"/>
    <col min="519" max="519" width="20.28515625" style="412" customWidth="1"/>
    <col min="520" max="524" width="0" style="412" hidden="1" customWidth="1"/>
    <col min="525" max="768" width="9.28515625" style="412"/>
    <col min="769" max="769" width="5.42578125" style="412" customWidth="1"/>
    <col min="770" max="770" width="45.7109375" style="412" customWidth="1"/>
    <col min="771" max="771" width="35.28515625" style="412" customWidth="1"/>
    <col min="772" max="773" width="20.28515625" style="412" customWidth="1"/>
    <col min="774" max="774" width="0" style="412" hidden="1" customWidth="1"/>
    <col min="775" max="775" width="20.28515625" style="412" customWidth="1"/>
    <col min="776" max="780" width="0" style="412" hidden="1" customWidth="1"/>
    <col min="781" max="1024" width="9.28515625" style="412"/>
    <col min="1025" max="1025" width="5.42578125" style="412" customWidth="1"/>
    <col min="1026" max="1026" width="45.7109375" style="412" customWidth="1"/>
    <col min="1027" max="1027" width="35.28515625" style="412" customWidth="1"/>
    <col min="1028" max="1029" width="20.28515625" style="412" customWidth="1"/>
    <col min="1030" max="1030" width="0" style="412" hidden="1" customWidth="1"/>
    <col min="1031" max="1031" width="20.28515625" style="412" customWidth="1"/>
    <col min="1032" max="1036" width="0" style="412" hidden="1" customWidth="1"/>
    <col min="1037" max="1280" width="9.28515625" style="412"/>
    <col min="1281" max="1281" width="5.42578125" style="412" customWidth="1"/>
    <col min="1282" max="1282" width="45.7109375" style="412" customWidth="1"/>
    <col min="1283" max="1283" width="35.28515625" style="412" customWidth="1"/>
    <col min="1284" max="1285" width="20.28515625" style="412" customWidth="1"/>
    <col min="1286" max="1286" width="0" style="412" hidden="1" customWidth="1"/>
    <col min="1287" max="1287" width="20.28515625" style="412" customWidth="1"/>
    <col min="1288" max="1292" width="0" style="412" hidden="1" customWidth="1"/>
    <col min="1293" max="1536" width="9.28515625" style="412"/>
    <col min="1537" max="1537" width="5.42578125" style="412" customWidth="1"/>
    <col min="1538" max="1538" width="45.7109375" style="412" customWidth="1"/>
    <col min="1539" max="1539" width="35.28515625" style="412" customWidth="1"/>
    <col min="1540" max="1541" width="20.28515625" style="412" customWidth="1"/>
    <col min="1542" max="1542" width="0" style="412" hidden="1" customWidth="1"/>
    <col min="1543" max="1543" width="20.28515625" style="412" customWidth="1"/>
    <col min="1544" max="1548" width="0" style="412" hidden="1" customWidth="1"/>
    <col min="1549" max="1792" width="9.28515625" style="412"/>
    <col min="1793" max="1793" width="5.42578125" style="412" customWidth="1"/>
    <col min="1794" max="1794" width="45.7109375" style="412" customWidth="1"/>
    <col min="1795" max="1795" width="35.28515625" style="412" customWidth="1"/>
    <col min="1796" max="1797" width="20.28515625" style="412" customWidth="1"/>
    <col min="1798" max="1798" width="0" style="412" hidden="1" customWidth="1"/>
    <col min="1799" max="1799" width="20.28515625" style="412" customWidth="1"/>
    <col min="1800" max="1804" width="0" style="412" hidden="1" customWidth="1"/>
    <col min="1805" max="2048" width="9.28515625" style="412"/>
    <col min="2049" max="2049" width="5.42578125" style="412" customWidth="1"/>
    <col min="2050" max="2050" width="45.7109375" style="412" customWidth="1"/>
    <col min="2051" max="2051" width="35.28515625" style="412" customWidth="1"/>
    <col min="2052" max="2053" width="20.28515625" style="412" customWidth="1"/>
    <col min="2054" max="2054" width="0" style="412" hidden="1" customWidth="1"/>
    <col min="2055" max="2055" width="20.28515625" style="412" customWidth="1"/>
    <col min="2056" max="2060" width="0" style="412" hidden="1" customWidth="1"/>
    <col min="2061" max="2304" width="9.28515625" style="412"/>
    <col min="2305" max="2305" width="5.42578125" style="412" customWidth="1"/>
    <col min="2306" max="2306" width="45.7109375" style="412" customWidth="1"/>
    <col min="2307" max="2307" width="35.28515625" style="412" customWidth="1"/>
    <col min="2308" max="2309" width="20.28515625" style="412" customWidth="1"/>
    <col min="2310" max="2310" width="0" style="412" hidden="1" customWidth="1"/>
    <col min="2311" max="2311" width="20.28515625" style="412" customWidth="1"/>
    <col min="2312" max="2316" width="0" style="412" hidden="1" customWidth="1"/>
    <col min="2317" max="2560" width="9.28515625" style="412"/>
    <col min="2561" max="2561" width="5.42578125" style="412" customWidth="1"/>
    <col min="2562" max="2562" width="45.7109375" style="412" customWidth="1"/>
    <col min="2563" max="2563" width="35.28515625" style="412" customWidth="1"/>
    <col min="2564" max="2565" width="20.28515625" style="412" customWidth="1"/>
    <col min="2566" max="2566" width="0" style="412" hidden="1" customWidth="1"/>
    <col min="2567" max="2567" width="20.28515625" style="412" customWidth="1"/>
    <col min="2568" max="2572" width="0" style="412" hidden="1" customWidth="1"/>
    <col min="2573" max="2816" width="9.28515625" style="412"/>
    <col min="2817" max="2817" width="5.42578125" style="412" customWidth="1"/>
    <col min="2818" max="2818" width="45.7109375" style="412" customWidth="1"/>
    <col min="2819" max="2819" width="35.28515625" style="412" customWidth="1"/>
    <col min="2820" max="2821" width="20.28515625" style="412" customWidth="1"/>
    <col min="2822" max="2822" width="0" style="412" hidden="1" customWidth="1"/>
    <col min="2823" max="2823" width="20.28515625" style="412" customWidth="1"/>
    <col min="2824" max="2828" width="0" style="412" hidden="1" customWidth="1"/>
    <col min="2829" max="3072" width="9.28515625" style="412"/>
    <col min="3073" max="3073" width="5.42578125" style="412" customWidth="1"/>
    <col min="3074" max="3074" width="45.7109375" style="412" customWidth="1"/>
    <col min="3075" max="3075" width="35.28515625" style="412" customWidth="1"/>
    <col min="3076" max="3077" width="20.28515625" style="412" customWidth="1"/>
    <col min="3078" max="3078" width="0" style="412" hidden="1" customWidth="1"/>
    <col min="3079" max="3079" width="20.28515625" style="412" customWidth="1"/>
    <col min="3080" max="3084" width="0" style="412" hidden="1" customWidth="1"/>
    <col min="3085" max="3328" width="9.28515625" style="412"/>
    <col min="3329" max="3329" width="5.42578125" style="412" customWidth="1"/>
    <col min="3330" max="3330" width="45.7109375" style="412" customWidth="1"/>
    <col min="3331" max="3331" width="35.28515625" style="412" customWidth="1"/>
    <col min="3332" max="3333" width="20.28515625" style="412" customWidth="1"/>
    <col min="3334" max="3334" width="0" style="412" hidden="1" customWidth="1"/>
    <col min="3335" max="3335" width="20.28515625" style="412" customWidth="1"/>
    <col min="3336" max="3340" width="0" style="412" hidden="1" customWidth="1"/>
    <col min="3341" max="3584" width="9.28515625" style="412"/>
    <col min="3585" max="3585" width="5.42578125" style="412" customWidth="1"/>
    <col min="3586" max="3586" width="45.7109375" style="412" customWidth="1"/>
    <col min="3587" max="3587" width="35.28515625" style="412" customWidth="1"/>
    <col min="3588" max="3589" width="20.28515625" style="412" customWidth="1"/>
    <col min="3590" max="3590" width="0" style="412" hidden="1" customWidth="1"/>
    <col min="3591" max="3591" width="20.28515625" style="412" customWidth="1"/>
    <col min="3592" max="3596" width="0" style="412" hidden="1" customWidth="1"/>
    <col min="3597" max="3840" width="9.28515625" style="412"/>
    <col min="3841" max="3841" width="5.42578125" style="412" customWidth="1"/>
    <col min="3842" max="3842" width="45.7109375" style="412" customWidth="1"/>
    <col min="3843" max="3843" width="35.28515625" style="412" customWidth="1"/>
    <col min="3844" max="3845" width="20.28515625" style="412" customWidth="1"/>
    <col min="3846" max="3846" width="0" style="412" hidden="1" customWidth="1"/>
    <col min="3847" max="3847" width="20.28515625" style="412" customWidth="1"/>
    <col min="3848" max="3852" width="0" style="412" hidden="1" customWidth="1"/>
    <col min="3853" max="4096" width="9.28515625" style="412"/>
    <col min="4097" max="4097" width="5.42578125" style="412" customWidth="1"/>
    <col min="4098" max="4098" width="45.7109375" style="412" customWidth="1"/>
    <col min="4099" max="4099" width="35.28515625" style="412" customWidth="1"/>
    <col min="4100" max="4101" width="20.28515625" style="412" customWidth="1"/>
    <col min="4102" max="4102" width="0" style="412" hidden="1" customWidth="1"/>
    <col min="4103" max="4103" width="20.28515625" style="412" customWidth="1"/>
    <col min="4104" max="4108" width="0" style="412" hidden="1" customWidth="1"/>
    <col min="4109" max="4352" width="9.28515625" style="412"/>
    <col min="4353" max="4353" width="5.42578125" style="412" customWidth="1"/>
    <col min="4354" max="4354" width="45.7109375" style="412" customWidth="1"/>
    <col min="4355" max="4355" width="35.28515625" style="412" customWidth="1"/>
    <col min="4356" max="4357" width="20.28515625" style="412" customWidth="1"/>
    <col min="4358" max="4358" width="0" style="412" hidden="1" customWidth="1"/>
    <col min="4359" max="4359" width="20.28515625" style="412" customWidth="1"/>
    <col min="4360" max="4364" width="0" style="412" hidden="1" customWidth="1"/>
    <col min="4365" max="4608" width="9.28515625" style="412"/>
    <col min="4609" max="4609" width="5.42578125" style="412" customWidth="1"/>
    <col min="4610" max="4610" width="45.7109375" style="412" customWidth="1"/>
    <col min="4611" max="4611" width="35.28515625" style="412" customWidth="1"/>
    <col min="4612" max="4613" width="20.28515625" style="412" customWidth="1"/>
    <col min="4614" max="4614" width="0" style="412" hidden="1" customWidth="1"/>
    <col min="4615" max="4615" width="20.28515625" style="412" customWidth="1"/>
    <col min="4616" max="4620" width="0" style="412" hidden="1" customWidth="1"/>
    <col min="4621" max="4864" width="9.28515625" style="412"/>
    <col min="4865" max="4865" width="5.42578125" style="412" customWidth="1"/>
    <col min="4866" max="4866" width="45.7109375" style="412" customWidth="1"/>
    <col min="4867" max="4867" width="35.28515625" style="412" customWidth="1"/>
    <col min="4868" max="4869" width="20.28515625" style="412" customWidth="1"/>
    <col min="4870" max="4870" width="0" style="412" hidden="1" customWidth="1"/>
    <col min="4871" max="4871" width="20.28515625" style="412" customWidth="1"/>
    <col min="4872" max="4876" width="0" style="412" hidden="1" customWidth="1"/>
    <col min="4877" max="5120" width="9.28515625" style="412"/>
    <col min="5121" max="5121" width="5.42578125" style="412" customWidth="1"/>
    <col min="5122" max="5122" width="45.7109375" style="412" customWidth="1"/>
    <col min="5123" max="5123" width="35.28515625" style="412" customWidth="1"/>
    <col min="5124" max="5125" width="20.28515625" style="412" customWidth="1"/>
    <col min="5126" max="5126" width="0" style="412" hidden="1" customWidth="1"/>
    <col min="5127" max="5127" width="20.28515625" style="412" customWidth="1"/>
    <col min="5128" max="5132" width="0" style="412" hidden="1" customWidth="1"/>
    <col min="5133" max="5376" width="9.28515625" style="412"/>
    <col min="5377" max="5377" width="5.42578125" style="412" customWidth="1"/>
    <col min="5378" max="5378" width="45.7109375" style="412" customWidth="1"/>
    <col min="5379" max="5379" width="35.28515625" style="412" customWidth="1"/>
    <col min="5380" max="5381" width="20.28515625" style="412" customWidth="1"/>
    <col min="5382" max="5382" width="0" style="412" hidden="1" customWidth="1"/>
    <col min="5383" max="5383" width="20.28515625" style="412" customWidth="1"/>
    <col min="5384" max="5388" width="0" style="412" hidden="1" customWidth="1"/>
    <col min="5389" max="5632" width="9.28515625" style="412"/>
    <col min="5633" max="5633" width="5.42578125" style="412" customWidth="1"/>
    <col min="5634" max="5634" width="45.7109375" style="412" customWidth="1"/>
    <col min="5635" max="5635" width="35.28515625" style="412" customWidth="1"/>
    <col min="5636" max="5637" width="20.28515625" style="412" customWidth="1"/>
    <col min="5638" max="5638" width="0" style="412" hidden="1" customWidth="1"/>
    <col min="5639" max="5639" width="20.28515625" style="412" customWidth="1"/>
    <col min="5640" max="5644" width="0" style="412" hidden="1" customWidth="1"/>
    <col min="5645" max="5888" width="9.28515625" style="412"/>
    <col min="5889" max="5889" width="5.42578125" style="412" customWidth="1"/>
    <col min="5890" max="5890" width="45.7109375" style="412" customWidth="1"/>
    <col min="5891" max="5891" width="35.28515625" style="412" customWidth="1"/>
    <col min="5892" max="5893" width="20.28515625" style="412" customWidth="1"/>
    <col min="5894" max="5894" width="0" style="412" hidden="1" customWidth="1"/>
    <col min="5895" max="5895" width="20.28515625" style="412" customWidth="1"/>
    <col min="5896" max="5900" width="0" style="412" hidden="1" customWidth="1"/>
    <col min="5901" max="6144" width="9.28515625" style="412"/>
    <col min="6145" max="6145" width="5.42578125" style="412" customWidth="1"/>
    <col min="6146" max="6146" width="45.7109375" style="412" customWidth="1"/>
    <col min="6147" max="6147" width="35.28515625" style="412" customWidth="1"/>
    <col min="6148" max="6149" width="20.28515625" style="412" customWidth="1"/>
    <col min="6150" max="6150" width="0" style="412" hidden="1" customWidth="1"/>
    <col min="6151" max="6151" width="20.28515625" style="412" customWidth="1"/>
    <col min="6152" max="6156" width="0" style="412" hidden="1" customWidth="1"/>
    <col min="6157" max="6400" width="9.28515625" style="412"/>
    <col min="6401" max="6401" width="5.42578125" style="412" customWidth="1"/>
    <col min="6402" max="6402" width="45.7109375" style="412" customWidth="1"/>
    <col min="6403" max="6403" width="35.28515625" style="412" customWidth="1"/>
    <col min="6404" max="6405" width="20.28515625" style="412" customWidth="1"/>
    <col min="6406" max="6406" width="0" style="412" hidden="1" customWidth="1"/>
    <col min="6407" max="6407" width="20.28515625" style="412" customWidth="1"/>
    <col min="6408" max="6412" width="0" style="412" hidden="1" customWidth="1"/>
    <col min="6413" max="6656" width="9.28515625" style="412"/>
    <col min="6657" max="6657" width="5.42578125" style="412" customWidth="1"/>
    <col min="6658" max="6658" width="45.7109375" style="412" customWidth="1"/>
    <col min="6659" max="6659" width="35.28515625" style="412" customWidth="1"/>
    <col min="6660" max="6661" width="20.28515625" style="412" customWidth="1"/>
    <col min="6662" max="6662" width="0" style="412" hidden="1" customWidth="1"/>
    <col min="6663" max="6663" width="20.28515625" style="412" customWidth="1"/>
    <col min="6664" max="6668" width="0" style="412" hidden="1" customWidth="1"/>
    <col min="6669" max="6912" width="9.28515625" style="412"/>
    <col min="6913" max="6913" width="5.42578125" style="412" customWidth="1"/>
    <col min="6914" max="6914" width="45.7109375" style="412" customWidth="1"/>
    <col min="6915" max="6915" width="35.28515625" style="412" customWidth="1"/>
    <col min="6916" max="6917" width="20.28515625" style="412" customWidth="1"/>
    <col min="6918" max="6918" width="0" style="412" hidden="1" customWidth="1"/>
    <col min="6919" max="6919" width="20.28515625" style="412" customWidth="1"/>
    <col min="6920" max="6924" width="0" style="412" hidden="1" customWidth="1"/>
    <col min="6925" max="7168" width="9.28515625" style="412"/>
    <col min="7169" max="7169" width="5.42578125" style="412" customWidth="1"/>
    <col min="7170" max="7170" width="45.7109375" style="412" customWidth="1"/>
    <col min="7171" max="7171" width="35.28515625" style="412" customWidth="1"/>
    <col min="7172" max="7173" width="20.28515625" style="412" customWidth="1"/>
    <col min="7174" max="7174" width="0" style="412" hidden="1" customWidth="1"/>
    <col min="7175" max="7175" width="20.28515625" style="412" customWidth="1"/>
    <col min="7176" max="7180" width="0" style="412" hidden="1" customWidth="1"/>
    <col min="7181" max="7424" width="9.28515625" style="412"/>
    <col min="7425" max="7425" width="5.42578125" style="412" customWidth="1"/>
    <col min="7426" max="7426" width="45.7109375" style="412" customWidth="1"/>
    <col min="7427" max="7427" width="35.28515625" style="412" customWidth="1"/>
    <col min="7428" max="7429" width="20.28515625" style="412" customWidth="1"/>
    <col min="7430" max="7430" width="0" style="412" hidden="1" customWidth="1"/>
    <col min="7431" max="7431" width="20.28515625" style="412" customWidth="1"/>
    <col min="7432" max="7436" width="0" style="412" hidden="1" customWidth="1"/>
    <col min="7437" max="7680" width="9.28515625" style="412"/>
    <col min="7681" max="7681" width="5.42578125" style="412" customWidth="1"/>
    <col min="7682" max="7682" width="45.7109375" style="412" customWidth="1"/>
    <col min="7683" max="7683" width="35.28515625" style="412" customWidth="1"/>
    <col min="7684" max="7685" width="20.28515625" style="412" customWidth="1"/>
    <col min="7686" max="7686" width="0" style="412" hidden="1" customWidth="1"/>
    <col min="7687" max="7687" width="20.28515625" style="412" customWidth="1"/>
    <col min="7688" max="7692" width="0" style="412" hidden="1" customWidth="1"/>
    <col min="7693" max="7936" width="9.28515625" style="412"/>
    <col min="7937" max="7937" width="5.42578125" style="412" customWidth="1"/>
    <col min="7938" max="7938" width="45.7109375" style="412" customWidth="1"/>
    <col min="7939" max="7939" width="35.28515625" style="412" customWidth="1"/>
    <col min="7940" max="7941" width="20.28515625" style="412" customWidth="1"/>
    <col min="7942" max="7942" width="0" style="412" hidden="1" customWidth="1"/>
    <col min="7943" max="7943" width="20.28515625" style="412" customWidth="1"/>
    <col min="7944" max="7948" width="0" style="412" hidden="1" customWidth="1"/>
    <col min="7949" max="8192" width="9.28515625" style="412"/>
    <col min="8193" max="8193" width="5.42578125" style="412" customWidth="1"/>
    <col min="8194" max="8194" width="45.7109375" style="412" customWidth="1"/>
    <col min="8195" max="8195" width="35.28515625" style="412" customWidth="1"/>
    <col min="8196" max="8197" width="20.28515625" style="412" customWidth="1"/>
    <col min="8198" max="8198" width="0" style="412" hidden="1" customWidth="1"/>
    <col min="8199" max="8199" width="20.28515625" style="412" customWidth="1"/>
    <col min="8200" max="8204" width="0" style="412" hidden="1" customWidth="1"/>
    <col min="8205" max="8448" width="9.28515625" style="412"/>
    <col min="8449" max="8449" width="5.42578125" style="412" customWidth="1"/>
    <col min="8450" max="8450" width="45.7109375" style="412" customWidth="1"/>
    <col min="8451" max="8451" width="35.28515625" style="412" customWidth="1"/>
    <col min="8452" max="8453" width="20.28515625" style="412" customWidth="1"/>
    <col min="8454" max="8454" width="0" style="412" hidden="1" customWidth="1"/>
    <col min="8455" max="8455" width="20.28515625" style="412" customWidth="1"/>
    <col min="8456" max="8460" width="0" style="412" hidden="1" customWidth="1"/>
    <col min="8461" max="8704" width="9.28515625" style="412"/>
    <col min="8705" max="8705" width="5.42578125" style="412" customWidth="1"/>
    <col min="8706" max="8706" width="45.7109375" style="412" customWidth="1"/>
    <col min="8707" max="8707" width="35.28515625" style="412" customWidth="1"/>
    <col min="8708" max="8709" width="20.28515625" style="412" customWidth="1"/>
    <col min="8710" max="8710" width="0" style="412" hidden="1" customWidth="1"/>
    <col min="8711" max="8711" width="20.28515625" style="412" customWidth="1"/>
    <col min="8712" max="8716" width="0" style="412" hidden="1" customWidth="1"/>
    <col min="8717" max="8960" width="9.28515625" style="412"/>
    <col min="8961" max="8961" width="5.42578125" style="412" customWidth="1"/>
    <col min="8962" max="8962" width="45.7109375" style="412" customWidth="1"/>
    <col min="8963" max="8963" width="35.28515625" style="412" customWidth="1"/>
    <col min="8964" max="8965" width="20.28515625" style="412" customWidth="1"/>
    <col min="8966" max="8966" width="0" style="412" hidden="1" customWidth="1"/>
    <col min="8967" max="8967" width="20.28515625" style="412" customWidth="1"/>
    <col min="8968" max="8972" width="0" style="412" hidden="1" customWidth="1"/>
    <col min="8973" max="9216" width="9.28515625" style="412"/>
    <col min="9217" max="9217" width="5.42578125" style="412" customWidth="1"/>
    <col min="9218" max="9218" width="45.7109375" style="412" customWidth="1"/>
    <col min="9219" max="9219" width="35.28515625" style="412" customWidth="1"/>
    <col min="9220" max="9221" width="20.28515625" style="412" customWidth="1"/>
    <col min="9222" max="9222" width="0" style="412" hidden="1" customWidth="1"/>
    <col min="9223" max="9223" width="20.28515625" style="412" customWidth="1"/>
    <col min="9224" max="9228" width="0" style="412" hidden="1" customWidth="1"/>
    <col min="9229" max="9472" width="9.28515625" style="412"/>
    <col min="9473" max="9473" width="5.42578125" style="412" customWidth="1"/>
    <col min="9474" max="9474" width="45.7109375" style="412" customWidth="1"/>
    <col min="9475" max="9475" width="35.28515625" style="412" customWidth="1"/>
    <col min="9476" max="9477" width="20.28515625" style="412" customWidth="1"/>
    <col min="9478" max="9478" width="0" style="412" hidden="1" customWidth="1"/>
    <col min="9479" max="9479" width="20.28515625" style="412" customWidth="1"/>
    <col min="9480" max="9484" width="0" style="412" hidden="1" customWidth="1"/>
    <col min="9485" max="9728" width="9.28515625" style="412"/>
    <col min="9729" max="9729" width="5.42578125" style="412" customWidth="1"/>
    <col min="9730" max="9730" width="45.7109375" style="412" customWidth="1"/>
    <col min="9731" max="9731" width="35.28515625" style="412" customWidth="1"/>
    <col min="9732" max="9733" width="20.28515625" style="412" customWidth="1"/>
    <col min="9734" max="9734" width="0" style="412" hidden="1" customWidth="1"/>
    <col min="9735" max="9735" width="20.28515625" style="412" customWidth="1"/>
    <col min="9736" max="9740" width="0" style="412" hidden="1" customWidth="1"/>
    <col min="9741" max="9984" width="9.28515625" style="412"/>
    <col min="9985" max="9985" width="5.42578125" style="412" customWidth="1"/>
    <col min="9986" max="9986" width="45.7109375" style="412" customWidth="1"/>
    <col min="9987" max="9987" width="35.28515625" style="412" customWidth="1"/>
    <col min="9988" max="9989" width="20.28515625" style="412" customWidth="1"/>
    <col min="9990" max="9990" width="0" style="412" hidden="1" customWidth="1"/>
    <col min="9991" max="9991" width="20.28515625" style="412" customWidth="1"/>
    <col min="9992" max="9996" width="0" style="412" hidden="1" customWidth="1"/>
    <col min="9997" max="10240" width="9.28515625" style="412"/>
    <col min="10241" max="10241" width="5.42578125" style="412" customWidth="1"/>
    <col min="10242" max="10242" width="45.7109375" style="412" customWidth="1"/>
    <col min="10243" max="10243" width="35.28515625" style="412" customWidth="1"/>
    <col min="10244" max="10245" width="20.28515625" style="412" customWidth="1"/>
    <col min="10246" max="10246" width="0" style="412" hidden="1" customWidth="1"/>
    <col min="10247" max="10247" width="20.28515625" style="412" customWidth="1"/>
    <col min="10248" max="10252" width="0" style="412" hidden="1" customWidth="1"/>
    <col min="10253" max="10496" width="9.28515625" style="412"/>
    <col min="10497" max="10497" width="5.42578125" style="412" customWidth="1"/>
    <col min="10498" max="10498" width="45.7109375" style="412" customWidth="1"/>
    <col min="10499" max="10499" width="35.28515625" style="412" customWidth="1"/>
    <col min="10500" max="10501" width="20.28515625" style="412" customWidth="1"/>
    <col min="10502" max="10502" width="0" style="412" hidden="1" customWidth="1"/>
    <col min="10503" max="10503" width="20.28515625" style="412" customWidth="1"/>
    <col min="10504" max="10508" width="0" style="412" hidden="1" customWidth="1"/>
    <col min="10509" max="10752" width="9.28515625" style="412"/>
    <col min="10753" max="10753" width="5.42578125" style="412" customWidth="1"/>
    <col min="10754" max="10754" width="45.7109375" style="412" customWidth="1"/>
    <col min="10755" max="10755" width="35.28515625" style="412" customWidth="1"/>
    <col min="10756" max="10757" width="20.28515625" style="412" customWidth="1"/>
    <col min="10758" max="10758" width="0" style="412" hidden="1" customWidth="1"/>
    <col min="10759" max="10759" width="20.28515625" style="412" customWidth="1"/>
    <col min="10760" max="10764" width="0" style="412" hidden="1" customWidth="1"/>
    <col min="10765" max="11008" width="9.28515625" style="412"/>
    <col min="11009" max="11009" width="5.42578125" style="412" customWidth="1"/>
    <col min="11010" max="11010" width="45.7109375" style="412" customWidth="1"/>
    <col min="11011" max="11011" width="35.28515625" style="412" customWidth="1"/>
    <col min="11012" max="11013" width="20.28515625" style="412" customWidth="1"/>
    <col min="11014" max="11014" width="0" style="412" hidden="1" customWidth="1"/>
    <col min="11015" max="11015" width="20.28515625" style="412" customWidth="1"/>
    <col min="11016" max="11020" width="0" style="412" hidden="1" customWidth="1"/>
    <col min="11021" max="11264" width="9.28515625" style="412"/>
    <col min="11265" max="11265" width="5.42578125" style="412" customWidth="1"/>
    <col min="11266" max="11266" width="45.7109375" style="412" customWidth="1"/>
    <col min="11267" max="11267" width="35.28515625" style="412" customWidth="1"/>
    <col min="11268" max="11269" width="20.28515625" style="412" customWidth="1"/>
    <col min="11270" max="11270" width="0" style="412" hidden="1" customWidth="1"/>
    <col min="11271" max="11271" width="20.28515625" style="412" customWidth="1"/>
    <col min="11272" max="11276" width="0" style="412" hidden="1" customWidth="1"/>
    <col min="11277" max="11520" width="9.28515625" style="412"/>
    <col min="11521" max="11521" width="5.42578125" style="412" customWidth="1"/>
    <col min="11522" max="11522" width="45.7109375" style="412" customWidth="1"/>
    <col min="11523" max="11523" width="35.28515625" style="412" customWidth="1"/>
    <col min="11524" max="11525" width="20.28515625" style="412" customWidth="1"/>
    <col min="11526" max="11526" width="0" style="412" hidden="1" customWidth="1"/>
    <col min="11527" max="11527" width="20.28515625" style="412" customWidth="1"/>
    <col min="11528" max="11532" width="0" style="412" hidden="1" customWidth="1"/>
    <col min="11533" max="11776" width="9.28515625" style="412"/>
    <col min="11777" max="11777" width="5.42578125" style="412" customWidth="1"/>
    <col min="11778" max="11778" width="45.7109375" style="412" customWidth="1"/>
    <col min="11779" max="11779" width="35.28515625" style="412" customWidth="1"/>
    <col min="11780" max="11781" width="20.28515625" style="412" customWidth="1"/>
    <col min="11782" max="11782" width="0" style="412" hidden="1" customWidth="1"/>
    <col min="11783" max="11783" width="20.28515625" style="412" customWidth="1"/>
    <col min="11784" max="11788" width="0" style="412" hidden="1" customWidth="1"/>
    <col min="11789" max="12032" width="9.28515625" style="412"/>
    <col min="12033" max="12033" width="5.42578125" style="412" customWidth="1"/>
    <col min="12034" max="12034" width="45.7109375" style="412" customWidth="1"/>
    <col min="12035" max="12035" width="35.28515625" style="412" customWidth="1"/>
    <col min="12036" max="12037" width="20.28515625" style="412" customWidth="1"/>
    <col min="12038" max="12038" width="0" style="412" hidden="1" customWidth="1"/>
    <col min="12039" max="12039" width="20.28515625" style="412" customWidth="1"/>
    <col min="12040" max="12044" width="0" style="412" hidden="1" customWidth="1"/>
    <col min="12045" max="12288" width="9.28515625" style="412"/>
    <col min="12289" max="12289" width="5.42578125" style="412" customWidth="1"/>
    <col min="12290" max="12290" width="45.7109375" style="412" customWidth="1"/>
    <col min="12291" max="12291" width="35.28515625" style="412" customWidth="1"/>
    <col min="12292" max="12293" width="20.28515625" style="412" customWidth="1"/>
    <col min="12294" max="12294" width="0" style="412" hidden="1" customWidth="1"/>
    <col min="12295" max="12295" width="20.28515625" style="412" customWidth="1"/>
    <col min="12296" max="12300" width="0" style="412" hidden="1" customWidth="1"/>
    <col min="12301" max="12544" width="9.28515625" style="412"/>
    <col min="12545" max="12545" width="5.42578125" style="412" customWidth="1"/>
    <col min="12546" max="12546" width="45.7109375" style="412" customWidth="1"/>
    <col min="12547" max="12547" width="35.28515625" style="412" customWidth="1"/>
    <col min="12548" max="12549" width="20.28515625" style="412" customWidth="1"/>
    <col min="12550" max="12550" width="0" style="412" hidden="1" customWidth="1"/>
    <col min="12551" max="12551" width="20.28515625" style="412" customWidth="1"/>
    <col min="12552" max="12556" width="0" style="412" hidden="1" customWidth="1"/>
    <col min="12557" max="12800" width="9.28515625" style="412"/>
    <col min="12801" max="12801" width="5.42578125" style="412" customWidth="1"/>
    <col min="12802" max="12802" width="45.7109375" style="412" customWidth="1"/>
    <col min="12803" max="12803" width="35.28515625" style="412" customWidth="1"/>
    <col min="12804" max="12805" width="20.28515625" style="412" customWidth="1"/>
    <col min="12806" max="12806" width="0" style="412" hidden="1" customWidth="1"/>
    <col min="12807" max="12807" width="20.28515625" style="412" customWidth="1"/>
    <col min="12808" max="12812" width="0" style="412" hidden="1" customWidth="1"/>
    <col min="12813" max="13056" width="9.28515625" style="412"/>
    <col min="13057" max="13057" width="5.42578125" style="412" customWidth="1"/>
    <col min="13058" max="13058" width="45.7109375" style="412" customWidth="1"/>
    <col min="13059" max="13059" width="35.28515625" style="412" customWidth="1"/>
    <col min="13060" max="13061" width="20.28515625" style="412" customWidth="1"/>
    <col min="13062" max="13062" width="0" style="412" hidden="1" customWidth="1"/>
    <col min="13063" max="13063" width="20.28515625" style="412" customWidth="1"/>
    <col min="13064" max="13068" width="0" style="412" hidden="1" customWidth="1"/>
    <col min="13069" max="13312" width="9.28515625" style="412"/>
    <col min="13313" max="13313" width="5.42578125" style="412" customWidth="1"/>
    <col min="13314" max="13314" width="45.7109375" style="412" customWidth="1"/>
    <col min="13315" max="13315" width="35.28515625" style="412" customWidth="1"/>
    <col min="13316" max="13317" width="20.28515625" style="412" customWidth="1"/>
    <col min="13318" max="13318" width="0" style="412" hidden="1" customWidth="1"/>
    <col min="13319" max="13319" width="20.28515625" style="412" customWidth="1"/>
    <col min="13320" max="13324" width="0" style="412" hidden="1" customWidth="1"/>
    <col min="13325" max="13568" width="9.28515625" style="412"/>
    <col min="13569" max="13569" width="5.42578125" style="412" customWidth="1"/>
    <col min="13570" max="13570" width="45.7109375" style="412" customWidth="1"/>
    <col min="13571" max="13571" width="35.28515625" style="412" customWidth="1"/>
    <col min="13572" max="13573" width="20.28515625" style="412" customWidth="1"/>
    <col min="13574" max="13574" width="0" style="412" hidden="1" customWidth="1"/>
    <col min="13575" max="13575" width="20.28515625" style="412" customWidth="1"/>
    <col min="13576" max="13580" width="0" style="412" hidden="1" customWidth="1"/>
    <col min="13581" max="13824" width="9.28515625" style="412"/>
    <col min="13825" max="13825" width="5.42578125" style="412" customWidth="1"/>
    <col min="13826" max="13826" width="45.7109375" style="412" customWidth="1"/>
    <col min="13827" max="13827" width="35.28515625" style="412" customWidth="1"/>
    <col min="13828" max="13829" width="20.28515625" style="412" customWidth="1"/>
    <col min="13830" max="13830" width="0" style="412" hidden="1" customWidth="1"/>
    <col min="13831" max="13831" width="20.28515625" style="412" customWidth="1"/>
    <col min="13832" max="13836" width="0" style="412" hidden="1" customWidth="1"/>
    <col min="13837" max="14080" width="9.28515625" style="412"/>
    <col min="14081" max="14081" width="5.42578125" style="412" customWidth="1"/>
    <col min="14082" max="14082" width="45.7109375" style="412" customWidth="1"/>
    <col min="14083" max="14083" width="35.28515625" style="412" customWidth="1"/>
    <col min="14084" max="14085" width="20.28515625" style="412" customWidth="1"/>
    <col min="14086" max="14086" width="0" style="412" hidden="1" customWidth="1"/>
    <col min="14087" max="14087" width="20.28515625" style="412" customWidth="1"/>
    <col min="14088" max="14092" width="0" style="412" hidden="1" customWidth="1"/>
    <col min="14093" max="14336" width="9.28515625" style="412"/>
    <col min="14337" max="14337" width="5.42578125" style="412" customWidth="1"/>
    <col min="14338" max="14338" width="45.7109375" style="412" customWidth="1"/>
    <col min="14339" max="14339" width="35.28515625" style="412" customWidth="1"/>
    <col min="14340" max="14341" width="20.28515625" style="412" customWidth="1"/>
    <col min="14342" max="14342" width="0" style="412" hidden="1" customWidth="1"/>
    <col min="14343" max="14343" width="20.28515625" style="412" customWidth="1"/>
    <col min="14344" max="14348" width="0" style="412" hidden="1" customWidth="1"/>
    <col min="14349" max="14592" width="9.28515625" style="412"/>
    <col min="14593" max="14593" width="5.42578125" style="412" customWidth="1"/>
    <col min="14594" max="14594" width="45.7109375" style="412" customWidth="1"/>
    <col min="14595" max="14595" width="35.28515625" style="412" customWidth="1"/>
    <col min="14596" max="14597" width="20.28515625" style="412" customWidth="1"/>
    <col min="14598" max="14598" width="0" style="412" hidden="1" customWidth="1"/>
    <col min="14599" max="14599" width="20.28515625" style="412" customWidth="1"/>
    <col min="14600" max="14604" width="0" style="412" hidden="1" customWidth="1"/>
    <col min="14605" max="14848" width="9.28515625" style="412"/>
    <col min="14849" max="14849" width="5.42578125" style="412" customWidth="1"/>
    <col min="14850" max="14850" width="45.7109375" style="412" customWidth="1"/>
    <col min="14851" max="14851" width="35.28515625" style="412" customWidth="1"/>
    <col min="14852" max="14853" width="20.28515625" style="412" customWidth="1"/>
    <col min="14854" max="14854" width="0" style="412" hidden="1" customWidth="1"/>
    <col min="14855" max="14855" width="20.28515625" style="412" customWidth="1"/>
    <col min="14856" max="14860" width="0" style="412" hidden="1" customWidth="1"/>
    <col min="14861" max="15104" width="9.28515625" style="412"/>
    <col min="15105" max="15105" width="5.42578125" style="412" customWidth="1"/>
    <col min="15106" max="15106" width="45.7109375" style="412" customWidth="1"/>
    <col min="15107" max="15107" width="35.28515625" style="412" customWidth="1"/>
    <col min="15108" max="15109" width="20.28515625" style="412" customWidth="1"/>
    <col min="15110" max="15110" width="0" style="412" hidden="1" customWidth="1"/>
    <col min="15111" max="15111" width="20.28515625" style="412" customWidth="1"/>
    <col min="15112" max="15116" width="0" style="412" hidden="1" customWidth="1"/>
    <col min="15117" max="15360" width="9.28515625" style="412"/>
    <col min="15361" max="15361" width="5.42578125" style="412" customWidth="1"/>
    <col min="15362" max="15362" width="45.7109375" style="412" customWidth="1"/>
    <col min="15363" max="15363" width="35.28515625" style="412" customWidth="1"/>
    <col min="15364" max="15365" width="20.28515625" style="412" customWidth="1"/>
    <col min="15366" max="15366" width="0" style="412" hidden="1" customWidth="1"/>
    <col min="15367" max="15367" width="20.28515625" style="412" customWidth="1"/>
    <col min="15368" max="15372" width="0" style="412" hidden="1" customWidth="1"/>
    <col min="15373" max="15616" width="9.28515625" style="412"/>
    <col min="15617" max="15617" width="5.42578125" style="412" customWidth="1"/>
    <col min="15618" max="15618" width="45.7109375" style="412" customWidth="1"/>
    <col min="15619" max="15619" width="35.28515625" style="412" customWidth="1"/>
    <col min="15620" max="15621" width="20.28515625" style="412" customWidth="1"/>
    <col min="15622" max="15622" width="0" style="412" hidden="1" customWidth="1"/>
    <col min="15623" max="15623" width="20.28515625" style="412" customWidth="1"/>
    <col min="15624" max="15628" width="0" style="412" hidden="1" customWidth="1"/>
    <col min="15629" max="15872" width="9.28515625" style="412"/>
    <col min="15873" max="15873" width="5.42578125" style="412" customWidth="1"/>
    <col min="15874" max="15874" width="45.7109375" style="412" customWidth="1"/>
    <col min="15875" max="15875" width="35.28515625" style="412" customWidth="1"/>
    <col min="15876" max="15877" width="20.28515625" style="412" customWidth="1"/>
    <col min="15878" max="15878" width="0" style="412" hidden="1" customWidth="1"/>
    <col min="15879" max="15879" width="20.28515625" style="412" customWidth="1"/>
    <col min="15880" max="15884" width="0" style="412" hidden="1" customWidth="1"/>
    <col min="15885" max="16128" width="9.28515625" style="412"/>
    <col min="16129" max="16129" width="5.42578125" style="412" customWidth="1"/>
    <col min="16130" max="16130" width="45.7109375" style="412" customWidth="1"/>
    <col min="16131" max="16131" width="35.28515625" style="412" customWidth="1"/>
    <col min="16132" max="16133" width="20.28515625" style="412" customWidth="1"/>
    <col min="16134" max="16134" width="0" style="412" hidden="1" customWidth="1"/>
    <col min="16135" max="16135" width="20.28515625" style="412" customWidth="1"/>
    <col min="16136" max="16140" width="0" style="412" hidden="1" customWidth="1"/>
    <col min="16141" max="16384" width="9.28515625" style="412"/>
  </cols>
  <sheetData>
    <row r="1" spans="1:15" ht="15.75">
      <c r="E1" s="486"/>
      <c r="G1" s="413" t="s">
        <v>901</v>
      </c>
    </row>
    <row r="2" spans="1:15" ht="28.5" customHeight="1">
      <c r="A2" s="1996" t="s">
        <v>902</v>
      </c>
      <c r="B2" s="1996"/>
      <c r="C2" s="1996"/>
      <c r="D2" s="1996"/>
      <c r="E2" s="1996"/>
      <c r="F2" s="1996"/>
      <c r="G2" s="1996"/>
    </row>
    <row r="3" spans="1:15" ht="15.75">
      <c r="D3" s="417"/>
      <c r="E3" s="417"/>
      <c r="G3" s="488" t="s">
        <v>205</v>
      </c>
    </row>
    <row r="4" spans="1:15" s="421" customFormat="1" ht="35.25" customHeight="1">
      <c r="A4" s="418" t="s">
        <v>291</v>
      </c>
      <c r="B4" s="418" t="s">
        <v>292</v>
      </c>
      <c r="C4" s="418" t="s">
        <v>904</v>
      </c>
      <c r="D4" s="419" t="s">
        <v>740</v>
      </c>
      <c r="E4" s="419" t="s">
        <v>716</v>
      </c>
      <c r="F4" s="419" t="s">
        <v>741</v>
      </c>
      <c r="G4" s="419" t="s">
        <v>238</v>
      </c>
      <c r="H4" s="489"/>
      <c r="I4" s="424"/>
      <c r="J4" s="424"/>
      <c r="K4" s="424"/>
      <c r="L4" s="424"/>
      <c r="M4" s="424"/>
      <c r="N4" s="424"/>
      <c r="O4" s="424"/>
    </row>
    <row r="5" spans="1:15" s="421" customFormat="1" ht="35.25" customHeight="1">
      <c r="A5" s="811" t="s">
        <v>294</v>
      </c>
      <c r="B5" s="811" t="s">
        <v>295</v>
      </c>
      <c r="C5" s="811" t="s">
        <v>229</v>
      </c>
      <c r="D5" s="811">
        <v>1</v>
      </c>
      <c r="E5" s="812">
        <v>2</v>
      </c>
      <c r="F5" s="811">
        <v>2</v>
      </c>
      <c r="G5" s="809">
        <v>3</v>
      </c>
      <c r="H5" s="489"/>
      <c r="I5" s="424"/>
      <c r="J5" s="424"/>
      <c r="K5" s="424"/>
      <c r="L5" s="424"/>
      <c r="M5" s="424"/>
      <c r="N5" s="424"/>
      <c r="O5" s="424"/>
    </row>
    <row r="6" spans="1:15" s="421" customFormat="1" ht="23.25" customHeight="1">
      <c r="A6" s="490">
        <v>1</v>
      </c>
      <c r="B6" s="491" t="s">
        <v>742</v>
      </c>
      <c r="C6" s="492"/>
      <c r="D6" s="692">
        <f>SUM(D7:D8)</f>
        <v>9411.9570999999996</v>
      </c>
      <c r="E6" s="692">
        <f>SUM(E7:E8)</f>
        <v>9411.9570999999996</v>
      </c>
      <c r="F6" s="692">
        <f>SUM(F7:F8)</f>
        <v>0</v>
      </c>
      <c r="G6" s="692">
        <f>SUM(G7:G8)</f>
        <v>0</v>
      </c>
      <c r="H6" s="493">
        <f>SUM(H7:H8)</f>
        <v>7642.4810239999997</v>
      </c>
    </row>
    <row r="7" spans="1:15" s="421" customFormat="1" ht="23.25" customHeight="1">
      <c r="A7" s="1995"/>
      <c r="B7" s="196" t="s">
        <v>743</v>
      </c>
      <c r="C7" s="494" t="s">
        <v>744</v>
      </c>
      <c r="D7" s="693">
        <v>7642.4810239999997</v>
      </c>
      <c r="E7" s="693">
        <f>+D7</f>
        <v>7642.4810239999997</v>
      </c>
      <c r="F7" s="693"/>
      <c r="G7" s="693"/>
      <c r="H7" s="495">
        <f>+D7</f>
        <v>7642.4810239999997</v>
      </c>
      <c r="I7" s="424">
        <v>63.43</v>
      </c>
      <c r="J7" s="496">
        <v>1706046076</v>
      </c>
      <c r="K7" s="424"/>
      <c r="L7" s="424"/>
      <c r="M7" s="424"/>
      <c r="N7" s="424"/>
      <c r="O7" s="424"/>
    </row>
    <row r="8" spans="1:15" s="421" customFormat="1" ht="23.25" customHeight="1">
      <c r="A8" s="1995"/>
      <c r="B8" s="196" t="s">
        <v>745</v>
      </c>
      <c r="C8" s="494"/>
      <c r="D8" s="693">
        <v>1769.4760759999999</v>
      </c>
      <c r="E8" s="694">
        <f>+D8</f>
        <v>1769.4760759999999</v>
      </c>
      <c r="F8" s="693">
        <f>+D8-E8</f>
        <v>0</v>
      </c>
      <c r="G8" s="693"/>
      <c r="H8" s="429"/>
      <c r="I8" s="497">
        <v>1644.1959999999999</v>
      </c>
      <c r="J8" s="496">
        <v>2966000000</v>
      </c>
    </row>
    <row r="9" spans="1:15" s="421" customFormat="1" ht="23.25" customHeight="1">
      <c r="A9" s="498">
        <v>2</v>
      </c>
      <c r="B9" s="499" t="s">
        <v>746</v>
      </c>
      <c r="C9" s="500"/>
      <c r="D9" s="695">
        <f>SUM(D10:D10)</f>
        <v>4418</v>
      </c>
      <c r="E9" s="695">
        <f>SUM(E10:E10)</f>
        <v>4418</v>
      </c>
      <c r="F9" s="695">
        <f>SUM(F10:F10)</f>
        <v>0</v>
      </c>
      <c r="G9" s="695">
        <f>SUM(G10:G10)</f>
        <v>0</v>
      </c>
      <c r="H9" s="502">
        <f>SUM(H10:H10)</f>
        <v>4418</v>
      </c>
      <c r="J9" s="496">
        <v>2159135000</v>
      </c>
    </row>
    <row r="10" spans="1:15" s="421" customFormat="1" ht="23.25" customHeight="1">
      <c r="A10" s="503"/>
      <c r="B10" s="196"/>
      <c r="C10" s="494" t="s">
        <v>747</v>
      </c>
      <c r="D10" s="693">
        <v>4418</v>
      </c>
      <c r="E10" s="693">
        <f>+D10</f>
        <v>4418</v>
      </c>
      <c r="F10" s="693">
        <f>E10-D10</f>
        <v>0</v>
      </c>
      <c r="G10" s="696"/>
      <c r="H10" s="504">
        <f>+D10</f>
        <v>4418</v>
      </c>
      <c r="J10" s="505">
        <f>SUM(J7:J9)</f>
        <v>6831181076</v>
      </c>
    </row>
    <row r="11" spans="1:15" s="421" customFormat="1" ht="23.25" customHeight="1">
      <c r="A11" s="498">
        <v>3</v>
      </c>
      <c r="B11" s="499" t="s">
        <v>748</v>
      </c>
      <c r="C11" s="500"/>
      <c r="D11" s="695">
        <f>+D12</f>
        <v>8010</v>
      </c>
      <c r="E11" s="695">
        <f>+E12</f>
        <v>8010</v>
      </c>
      <c r="F11" s="695">
        <f>+F12</f>
        <v>0</v>
      </c>
      <c r="G11" s="695">
        <f>SUM(G12:G13)</f>
        <v>0</v>
      </c>
      <c r="H11" s="501">
        <f>+H12</f>
        <v>8010</v>
      </c>
      <c r="J11" s="506" t="e">
        <f>J10-#REF!</f>
        <v>#REF!</v>
      </c>
    </row>
    <row r="12" spans="1:15" s="421" customFormat="1" ht="33" customHeight="1">
      <c r="A12" s="503" t="s">
        <v>525</v>
      </c>
      <c r="B12" s="196"/>
      <c r="C12" s="507" t="s">
        <v>749</v>
      </c>
      <c r="D12" s="693">
        <v>8010</v>
      </c>
      <c r="E12" s="693">
        <f>+D12</f>
        <v>8010</v>
      </c>
      <c r="F12" s="693"/>
      <c r="G12" s="693"/>
      <c r="H12" s="429">
        <f>+D12</f>
        <v>8010</v>
      </c>
    </row>
    <row r="13" spans="1:15" s="421" customFormat="1" ht="33" customHeight="1">
      <c r="A13" s="508">
        <v>4</v>
      </c>
      <c r="B13" s="509" t="s">
        <v>750</v>
      </c>
      <c r="C13" s="510" t="s">
        <v>751</v>
      </c>
      <c r="D13" s="511">
        <v>587.9112499999992</v>
      </c>
      <c r="E13" s="697">
        <f>D13</f>
        <v>587.9112499999992</v>
      </c>
      <c r="F13" s="693"/>
      <c r="G13" s="693"/>
      <c r="H13" s="512">
        <f>+E13</f>
        <v>587.9112499999992</v>
      </c>
      <c r="I13" s="513">
        <f>+D13+D14</f>
        <v>1969.9046889999991</v>
      </c>
    </row>
    <row r="14" spans="1:15" s="421" customFormat="1" ht="20.25" customHeight="1">
      <c r="A14" s="508">
        <v>5</v>
      </c>
      <c r="B14" s="509" t="s">
        <v>752</v>
      </c>
      <c r="C14" s="510"/>
      <c r="D14" s="511">
        <f>SUM(D15:D16)</f>
        <v>1381.9934389999999</v>
      </c>
      <c r="E14" s="511">
        <f>SUM(E15:E16)</f>
        <v>1381.9934389999999</v>
      </c>
      <c r="F14" s="693"/>
      <c r="G14" s="693"/>
      <c r="H14" s="512"/>
    </row>
    <row r="15" spans="1:15" s="25" customFormat="1" ht="20.25" customHeight="1">
      <c r="A15" s="514"/>
      <c r="B15" s="74" t="s">
        <v>753</v>
      </c>
      <c r="C15" s="510"/>
      <c r="D15" s="515">
        <v>612</v>
      </c>
      <c r="E15" s="698">
        <f>+D15</f>
        <v>612</v>
      </c>
      <c r="F15" s="698"/>
      <c r="G15" s="698"/>
      <c r="H15" s="516"/>
    </row>
    <row r="16" spans="1:15" s="25" customFormat="1" ht="20.25" customHeight="1">
      <c r="A16" s="514"/>
      <c r="B16" s="74" t="s">
        <v>754</v>
      </c>
      <c r="C16" s="510"/>
      <c r="D16" s="515">
        <v>769.99343899999997</v>
      </c>
      <c r="E16" s="698">
        <f>+D16</f>
        <v>769.99343899999997</v>
      </c>
      <c r="F16" s="698"/>
      <c r="G16" s="698"/>
      <c r="H16" s="516"/>
    </row>
    <row r="17" spans="1:13" s="519" customFormat="1" ht="20.25" customHeight="1">
      <c r="A17" s="498">
        <v>4</v>
      </c>
      <c r="B17" s="517" t="s">
        <v>755</v>
      </c>
      <c r="C17" s="517"/>
      <c r="D17" s="695">
        <f>D6+D9+D11+D13+D14</f>
        <v>23809.861788999995</v>
      </c>
      <c r="E17" s="695">
        <f>E6+E9+E11+E13+E14</f>
        <v>23809.861788999995</v>
      </c>
      <c r="F17" s="695">
        <f>F6+F9+F11+F13</f>
        <v>0</v>
      </c>
      <c r="G17" s="695">
        <f>G6+G9+G11+G13</f>
        <v>0</v>
      </c>
      <c r="H17" s="518">
        <f>H6+H9+H11+H13</f>
        <v>20658.392273999998</v>
      </c>
      <c r="I17" s="518">
        <v>20722.194474</v>
      </c>
      <c r="J17" s="518">
        <f>+H17-I17</f>
        <v>-63.802200000001903</v>
      </c>
    </row>
    <row r="18" spans="1:13" s="421" customFormat="1" ht="20.25" customHeight="1">
      <c r="A18" s="498">
        <v>5</v>
      </c>
      <c r="B18" s="517" t="s">
        <v>756</v>
      </c>
      <c r="C18" s="517"/>
      <c r="D18" s="695">
        <f>SUM(D19:D21)</f>
        <v>21651.755075999998</v>
      </c>
      <c r="E18" s="695">
        <f>SUM(E19:E21)</f>
        <v>21538.406709999999</v>
      </c>
      <c r="F18" s="695">
        <f>SUM(F19:F21)</f>
        <v>0</v>
      </c>
      <c r="G18" s="695"/>
      <c r="H18" s="504"/>
    </row>
    <row r="19" spans="1:13" s="421" customFormat="1" ht="39" customHeight="1">
      <c r="A19" s="503" t="s">
        <v>246</v>
      </c>
      <c r="B19" s="520" t="s">
        <v>757</v>
      </c>
      <c r="C19" s="521" t="s">
        <v>758</v>
      </c>
      <c r="D19" s="693">
        <v>12060.48</v>
      </c>
      <c r="E19" s="699">
        <f>+D19</f>
        <v>12060.48</v>
      </c>
      <c r="F19" s="699"/>
      <c r="G19" s="699"/>
      <c r="H19" s="504">
        <f>+H20+H21+E25</f>
        <v>112.97616599999999</v>
      </c>
      <c r="I19" s="522">
        <f>+D12-E20</f>
        <v>238.1193659999999</v>
      </c>
      <c r="J19" s="522">
        <f>+I19-H19</f>
        <v>125.14319999999991</v>
      </c>
    </row>
    <row r="20" spans="1:13" s="424" customFormat="1" ht="39" customHeight="1">
      <c r="A20" s="523" t="s">
        <v>144</v>
      </c>
      <c r="B20" s="520" t="s">
        <v>759</v>
      </c>
      <c r="C20" s="521" t="s">
        <v>760</v>
      </c>
      <c r="D20" s="693">
        <v>7885.2290000000003</v>
      </c>
      <c r="E20" s="699">
        <f>7787.213634-10.076-5.257</f>
        <v>7771.8806340000001</v>
      </c>
      <c r="F20" s="699"/>
      <c r="G20" s="696"/>
      <c r="H20" s="524">
        <v>10.076000000000001</v>
      </c>
      <c r="I20" s="25" t="s">
        <v>516</v>
      </c>
      <c r="J20" s="525">
        <f>+D12-D20</f>
        <v>124.77099999999973</v>
      </c>
    </row>
    <row r="21" spans="1:13" s="421" customFormat="1" ht="24" customHeight="1">
      <c r="A21" s="523" t="s">
        <v>528</v>
      </c>
      <c r="B21" s="520" t="s">
        <v>761</v>
      </c>
      <c r="C21" s="494"/>
      <c r="D21" s="699">
        <v>1706.0460759999999</v>
      </c>
      <c r="E21" s="699">
        <f>D21</f>
        <v>1706.0460759999999</v>
      </c>
      <c r="F21" s="699">
        <f>E21-D21</f>
        <v>0</v>
      </c>
      <c r="G21" s="699"/>
      <c r="H21" s="526">
        <v>5.2569999999999997</v>
      </c>
      <c r="I21" s="421" t="s">
        <v>285</v>
      </c>
      <c r="J21" s="522">
        <f>+J20-J19</f>
        <v>-0.37220000000017706</v>
      </c>
    </row>
    <row r="22" spans="1:13" ht="27.75" customHeight="1">
      <c r="A22" s="490">
        <v>6</v>
      </c>
      <c r="B22" s="527" t="s">
        <v>762</v>
      </c>
      <c r="C22" s="527"/>
      <c r="D22" s="692"/>
      <c r="E22" s="692">
        <f>E17-E18</f>
        <v>2271.4550789999957</v>
      </c>
      <c r="F22" s="692"/>
      <c r="G22" s="700"/>
      <c r="H22" s="528"/>
      <c r="M22" s="659"/>
    </row>
    <row r="23" spans="1:13" ht="48.75" customHeight="1">
      <c r="A23" s="706"/>
      <c r="B23" s="529" t="s">
        <v>763</v>
      </c>
      <c r="C23" s="521" t="s">
        <v>903</v>
      </c>
      <c r="D23" s="693"/>
      <c r="E23" s="693">
        <f>612+776.485474</f>
        <v>1388.4854740000001</v>
      </c>
      <c r="F23" s="693"/>
      <c r="G23" s="701"/>
      <c r="H23" s="528">
        <f>+E23+E25</f>
        <v>1486.1286400000001</v>
      </c>
      <c r="I23" s="530">
        <v>15333000</v>
      </c>
      <c r="M23" s="818"/>
    </row>
    <row r="24" spans="1:13" ht="23.25" customHeight="1">
      <c r="A24" s="707"/>
      <c r="B24" s="529" t="s">
        <v>765</v>
      </c>
      <c r="C24" s="531"/>
      <c r="D24" s="693"/>
      <c r="E24" s="693">
        <v>785.32643899999562</v>
      </c>
      <c r="F24" s="693"/>
      <c r="G24" s="701"/>
      <c r="H24" s="528">
        <v>785.32643900000005</v>
      </c>
    </row>
    <row r="25" spans="1:13" ht="25.5">
      <c r="A25" s="708"/>
      <c r="B25" s="534" t="s">
        <v>766</v>
      </c>
      <c r="C25" s="713" t="s">
        <v>764</v>
      </c>
      <c r="D25" s="704"/>
      <c r="E25" s="704">
        <v>97.643165999999994</v>
      </c>
      <c r="F25" s="704"/>
      <c r="G25" s="705"/>
      <c r="H25" s="528">
        <f>+E24-H24</f>
        <v>-4.4337866711430252E-12</v>
      </c>
    </row>
    <row r="26" spans="1:13" ht="15" hidden="1">
      <c r="A26" s="707"/>
      <c r="B26" s="709" t="s">
        <v>767</v>
      </c>
      <c r="C26" s="710"/>
      <c r="D26" s="711"/>
      <c r="E26" s="711"/>
      <c r="F26" s="711"/>
      <c r="G26" s="712"/>
      <c r="H26" s="528"/>
    </row>
    <row r="27" spans="1:13" ht="15" hidden="1">
      <c r="A27" s="707"/>
      <c r="B27" s="532" t="s">
        <v>768</v>
      </c>
      <c r="C27" s="533"/>
      <c r="D27" s="702"/>
      <c r="E27" s="702">
        <f>D27</f>
        <v>0</v>
      </c>
      <c r="F27" s="702"/>
      <c r="G27" s="703"/>
      <c r="H27" s="528"/>
    </row>
    <row r="28" spans="1:13" ht="15" hidden="1">
      <c r="A28" s="708"/>
      <c r="B28" s="534" t="s">
        <v>769</v>
      </c>
      <c r="C28" s="535"/>
      <c r="D28" s="704"/>
      <c r="E28" s="704">
        <f>D28</f>
        <v>0</v>
      </c>
      <c r="F28" s="704"/>
      <c r="G28" s="705"/>
      <c r="H28" s="528"/>
    </row>
    <row r="29" spans="1:13">
      <c r="H29" s="528"/>
    </row>
    <row r="30" spans="1:13" s="421" customFormat="1" ht="15.75">
      <c r="A30" s="398"/>
      <c r="B30" s="28"/>
      <c r="C30" s="1778" t="s">
        <v>686</v>
      </c>
      <c r="D30" s="1778"/>
      <c r="E30" s="1778"/>
      <c r="F30" s="1778"/>
      <c r="G30" s="1778"/>
      <c r="H30" s="484"/>
    </row>
    <row r="31" spans="1:13" ht="18.75">
      <c r="A31" s="1779" t="s">
        <v>382</v>
      </c>
      <c r="B31" s="1779"/>
      <c r="C31" s="1779" t="s">
        <v>532</v>
      </c>
      <c r="D31" s="1779"/>
      <c r="E31" s="1779"/>
      <c r="F31" s="1779"/>
      <c r="G31" s="1779"/>
      <c r="H31" s="485"/>
    </row>
    <row r="32" spans="1:13" ht="15.75">
      <c r="A32" s="1778" t="s">
        <v>383</v>
      </c>
      <c r="B32" s="1778"/>
      <c r="C32" s="1778" t="s">
        <v>141</v>
      </c>
      <c r="D32" s="1778"/>
      <c r="E32" s="1778"/>
      <c r="F32" s="1778"/>
      <c r="G32" s="1778"/>
      <c r="H32" s="668"/>
      <c r="I32" s="668">
        <v>56336000</v>
      </c>
    </row>
    <row r="33" spans="1:8" ht="15">
      <c r="A33" s="28"/>
      <c r="B33" s="28"/>
      <c r="C33" s="215"/>
      <c r="D33" s="28"/>
      <c r="E33" s="28"/>
      <c r="F33" s="28"/>
      <c r="H33" s="412"/>
    </row>
    <row r="34" spans="1:8" ht="15">
      <c r="A34" s="28"/>
      <c r="B34" s="28"/>
      <c r="C34" s="215"/>
      <c r="D34" s="28"/>
      <c r="E34" s="28"/>
      <c r="F34" s="28"/>
      <c r="H34" s="412"/>
    </row>
    <row r="35" spans="1:8" ht="15">
      <c r="A35" s="28"/>
      <c r="B35" s="28"/>
      <c r="C35" s="215"/>
      <c r="D35" s="28"/>
      <c r="E35" s="28"/>
      <c r="F35" s="28"/>
      <c r="H35" s="412"/>
    </row>
    <row r="36" spans="1:8" ht="30" customHeight="1">
      <c r="A36" s="28"/>
      <c r="B36" s="28"/>
      <c r="C36" s="215"/>
      <c r="D36" s="28"/>
      <c r="E36" s="28"/>
      <c r="F36" s="28"/>
      <c r="H36" s="412"/>
    </row>
    <row r="37" spans="1:8" ht="15">
      <c r="A37" s="28"/>
      <c r="B37" s="28"/>
      <c r="C37" s="215"/>
      <c r="D37" s="28"/>
      <c r="E37" s="28"/>
      <c r="F37" s="28"/>
      <c r="H37" s="412"/>
    </row>
    <row r="38" spans="1:8" ht="15">
      <c r="A38" s="28"/>
      <c r="B38" s="28"/>
      <c r="C38" s="215"/>
      <c r="D38" s="28"/>
      <c r="E38" s="28"/>
      <c r="F38" s="28"/>
      <c r="H38" s="412"/>
    </row>
    <row r="39" spans="1:8" ht="18.75">
      <c r="A39" s="1983" t="s">
        <v>488</v>
      </c>
      <c r="B39" s="1983"/>
      <c r="C39" s="1983" t="s">
        <v>513</v>
      </c>
      <c r="D39" s="1983"/>
      <c r="E39" s="1983"/>
      <c r="F39" s="1983"/>
      <c r="G39" s="1983"/>
      <c r="H39" s="412"/>
    </row>
  </sheetData>
  <mergeCells count="9">
    <mergeCell ref="A7:A8"/>
    <mergeCell ref="A2:G2"/>
    <mergeCell ref="A31:B31"/>
    <mergeCell ref="A32:B32"/>
    <mergeCell ref="A39:B39"/>
    <mergeCell ref="C30:G30"/>
    <mergeCell ref="C31:G31"/>
    <mergeCell ref="C32:G32"/>
    <mergeCell ref="C39:G39"/>
  </mergeCells>
  <pageMargins left="0.24" right="0.16" top="0.46" bottom="0.21" header="0.3" footer="0.2"/>
  <pageSetup paperSize="9" orientation="landscape"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3"/>
  <dimension ref="A1:L96"/>
  <sheetViews>
    <sheetView workbookViewId="0">
      <selection activeCell="E3" sqref="E3"/>
    </sheetView>
  </sheetViews>
  <sheetFormatPr defaultRowHeight="12.75"/>
  <cols>
    <col min="1" max="1" width="4" style="539" customWidth="1"/>
    <col min="2" max="2" width="6.28515625" style="539" customWidth="1"/>
    <col min="3" max="3" width="10.28515625" style="539" customWidth="1"/>
    <col min="4" max="4" width="68.28515625" style="37" customWidth="1"/>
    <col min="5" max="5" width="17.42578125" style="537" customWidth="1"/>
    <col min="6" max="6" width="9" style="539" customWidth="1"/>
    <col min="7" max="7" width="11.7109375" style="539" customWidth="1"/>
    <col min="8" max="8" width="70.28515625" style="37" customWidth="1"/>
    <col min="9" max="9" width="18.5703125" style="537" customWidth="1"/>
    <col min="10" max="10" width="16.28515625" style="537" customWidth="1"/>
    <col min="11" max="11" width="13.7109375" style="37" bestFit="1" customWidth="1"/>
    <col min="12" max="256" width="9.28515625" style="37"/>
    <col min="257" max="257" width="4" style="37" customWidth="1"/>
    <col min="258" max="258" width="6.28515625" style="37" customWidth="1"/>
    <col min="259" max="259" width="10.28515625" style="37" customWidth="1"/>
    <col min="260" max="260" width="68.28515625" style="37" customWidth="1"/>
    <col min="261" max="261" width="17.42578125" style="37" customWidth="1"/>
    <col min="262" max="263" width="16.42578125" style="37" customWidth="1"/>
    <col min="264" max="264" width="70.28515625" style="37" customWidth="1"/>
    <col min="265" max="265" width="18.5703125" style="37" customWidth="1"/>
    <col min="266" max="266" width="16.28515625" style="37" customWidth="1"/>
    <col min="267" max="267" width="13.7109375" style="37" bestFit="1" customWidth="1"/>
    <col min="268" max="512" width="9.28515625" style="37"/>
    <col min="513" max="513" width="4" style="37" customWidth="1"/>
    <col min="514" max="514" width="6.28515625" style="37" customWidth="1"/>
    <col min="515" max="515" width="10.28515625" style="37" customWidth="1"/>
    <col min="516" max="516" width="68.28515625" style="37" customWidth="1"/>
    <col min="517" max="517" width="17.42578125" style="37" customWidth="1"/>
    <col min="518" max="519" width="16.42578125" style="37" customWidth="1"/>
    <col min="520" max="520" width="70.28515625" style="37" customWidth="1"/>
    <col min="521" max="521" width="18.5703125" style="37" customWidth="1"/>
    <col min="522" max="522" width="16.28515625" style="37" customWidth="1"/>
    <col min="523" max="523" width="13.7109375" style="37" bestFit="1" customWidth="1"/>
    <col min="524" max="768" width="9.28515625" style="37"/>
    <col min="769" max="769" width="4" style="37" customWidth="1"/>
    <col min="770" max="770" width="6.28515625" style="37" customWidth="1"/>
    <col min="771" max="771" width="10.28515625" style="37" customWidth="1"/>
    <col min="772" max="772" width="68.28515625" style="37" customWidth="1"/>
    <col min="773" max="773" width="17.42578125" style="37" customWidth="1"/>
    <col min="774" max="775" width="16.42578125" style="37" customWidth="1"/>
    <col min="776" max="776" width="70.28515625" style="37" customWidth="1"/>
    <col min="777" max="777" width="18.5703125" style="37" customWidth="1"/>
    <col min="778" max="778" width="16.28515625" style="37" customWidth="1"/>
    <col min="779" max="779" width="13.7109375" style="37" bestFit="1" customWidth="1"/>
    <col min="780" max="1024" width="9.28515625" style="37"/>
    <col min="1025" max="1025" width="4" style="37" customWidth="1"/>
    <col min="1026" max="1026" width="6.28515625" style="37" customWidth="1"/>
    <col min="1027" max="1027" width="10.28515625" style="37" customWidth="1"/>
    <col min="1028" max="1028" width="68.28515625" style="37" customWidth="1"/>
    <col min="1029" max="1029" width="17.42578125" style="37" customWidth="1"/>
    <col min="1030" max="1031" width="16.42578125" style="37" customWidth="1"/>
    <col min="1032" max="1032" width="70.28515625" style="37" customWidth="1"/>
    <col min="1033" max="1033" width="18.5703125" style="37" customWidth="1"/>
    <col min="1034" max="1034" width="16.28515625" style="37" customWidth="1"/>
    <col min="1035" max="1035" width="13.7109375" style="37" bestFit="1" customWidth="1"/>
    <col min="1036" max="1280" width="9.28515625" style="37"/>
    <col min="1281" max="1281" width="4" style="37" customWidth="1"/>
    <col min="1282" max="1282" width="6.28515625" style="37" customWidth="1"/>
    <col min="1283" max="1283" width="10.28515625" style="37" customWidth="1"/>
    <col min="1284" max="1284" width="68.28515625" style="37" customWidth="1"/>
    <col min="1285" max="1285" width="17.42578125" style="37" customWidth="1"/>
    <col min="1286" max="1287" width="16.42578125" style="37" customWidth="1"/>
    <col min="1288" max="1288" width="70.28515625" style="37" customWidth="1"/>
    <col min="1289" max="1289" width="18.5703125" style="37" customWidth="1"/>
    <col min="1290" max="1290" width="16.28515625" style="37" customWidth="1"/>
    <col min="1291" max="1291" width="13.7109375" style="37" bestFit="1" customWidth="1"/>
    <col min="1292" max="1536" width="9.28515625" style="37"/>
    <col min="1537" max="1537" width="4" style="37" customWidth="1"/>
    <col min="1538" max="1538" width="6.28515625" style="37" customWidth="1"/>
    <col min="1539" max="1539" width="10.28515625" style="37" customWidth="1"/>
    <col min="1540" max="1540" width="68.28515625" style="37" customWidth="1"/>
    <col min="1541" max="1541" width="17.42578125" style="37" customWidth="1"/>
    <col min="1542" max="1543" width="16.42578125" style="37" customWidth="1"/>
    <col min="1544" max="1544" width="70.28515625" style="37" customWidth="1"/>
    <col min="1545" max="1545" width="18.5703125" style="37" customWidth="1"/>
    <col min="1546" max="1546" width="16.28515625" style="37" customWidth="1"/>
    <col min="1547" max="1547" width="13.7109375" style="37" bestFit="1" customWidth="1"/>
    <col min="1548" max="1792" width="9.28515625" style="37"/>
    <col min="1793" max="1793" width="4" style="37" customWidth="1"/>
    <col min="1794" max="1794" width="6.28515625" style="37" customWidth="1"/>
    <col min="1795" max="1795" width="10.28515625" style="37" customWidth="1"/>
    <col min="1796" max="1796" width="68.28515625" style="37" customWidth="1"/>
    <col min="1797" max="1797" width="17.42578125" style="37" customWidth="1"/>
    <col min="1798" max="1799" width="16.42578125" style="37" customWidth="1"/>
    <col min="1800" max="1800" width="70.28515625" style="37" customWidth="1"/>
    <col min="1801" max="1801" width="18.5703125" style="37" customWidth="1"/>
    <col min="1802" max="1802" width="16.28515625" style="37" customWidth="1"/>
    <col min="1803" max="1803" width="13.7109375" style="37" bestFit="1" customWidth="1"/>
    <col min="1804" max="2048" width="9.28515625" style="37"/>
    <col min="2049" max="2049" width="4" style="37" customWidth="1"/>
    <col min="2050" max="2050" width="6.28515625" style="37" customWidth="1"/>
    <col min="2051" max="2051" width="10.28515625" style="37" customWidth="1"/>
    <col min="2052" max="2052" width="68.28515625" style="37" customWidth="1"/>
    <col min="2053" max="2053" width="17.42578125" style="37" customWidth="1"/>
    <col min="2054" max="2055" width="16.42578125" style="37" customWidth="1"/>
    <col min="2056" max="2056" width="70.28515625" style="37" customWidth="1"/>
    <col min="2057" max="2057" width="18.5703125" style="37" customWidth="1"/>
    <col min="2058" max="2058" width="16.28515625" style="37" customWidth="1"/>
    <col min="2059" max="2059" width="13.7109375" style="37" bestFit="1" customWidth="1"/>
    <col min="2060" max="2304" width="9.28515625" style="37"/>
    <col min="2305" max="2305" width="4" style="37" customWidth="1"/>
    <col min="2306" max="2306" width="6.28515625" style="37" customWidth="1"/>
    <col min="2307" max="2307" width="10.28515625" style="37" customWidth="1"/>
    <col min="2308" max="2308" width="68.28515625" style="37" customWidth="1"/>
    <col min="2309" max="2309" width="17.42578125" style="37" customWidth="1"/>
    <col min="2310" max="2311" width="16.42578125" style="37" customWidth="1"/>
    <col min="2312" max="2312" width="70.28515625" style="37" customWidth="1"/>
    <col min="2313" max="2313" width="18.5703125" style="37" customWidth="1"/>
    <col min="2314" max="2314" width="16.28515625" style="37" customWidth="1"/>
    <col min="2315" max="2315" width="13.7109375" style="37" bestFit="1" customWidth="1"/>
    <col min="2316" max="2560" width="9.28515625" style="37"/>
    <col min="2561" max="2561" width="4" style="37" customWidth="1"/>
    <col min="2562" max="2562" width="6.28515625" style="37" customWidth="1"/>
    <col min="2563" max="2563" width="10.28515625" style="37" customWidth="1"/>
    <col min="2564" max="2564" width="68.28515625" style="37" customWidth="1"/>
    <col min="2565" max="2565" width="17.42578125" style="37" customWidth="1"/>
    <col min="2566" max="2567" width="16.42578125" style="37" customWidth="1"/>
    <col min="2568" max="2568" width="70.28515625" style="37" customWidth="1"/>
    <col min="2569" max="2569" width="18.5703125" style="37" customWidth="1"/>
    <col min="2570" max="2570" width="16.28515625" style="37" customWidth="1"/>
    <col min="2571" max="2571" width="13.7109375" style="37" bestFit="1" customWidth="1"/>
    <col min="2572" max="2816" width="9.28515625" style="37"/>
    <col min="2817" max="2817" width="4" style="37" customWidth="1"/>
    <col min="2818" max="2818" width="6.28515625" style="37" customWidth="1"/>
    <col min="2819" max="2819" width="10.28515625" style="37" customWidth="1"/>
    <col min="2820" max="2820" width="68.28515625" style="37" customWidth="1"/>
    <col min="2821" max="2821" width="17.42578125" style="37" customWidth="1"/>
    <col min="2822" max="2823" width="16.42578125" style="37" customWidth="1"/>
    <col min="2824" max="2824" width="70.28515625" style="37" customWidth="1"/>
    <col min="2825" max="2825" width="18.5703125" style="37" customWidth="1"/>
    <col min="2826" max="2826" width="16.28515625" style="37" customWidth="1"/>
    <col min="2827" max="2827" width="13.7109375" style="37" bestFit="1" customWidth="1"/>
    <col min="2828" max="3072" width="9.28515625" style="37"/>
    <col min="3073" max="3073" width="4" style="37" customWidth="1"/>
    <col min="3074" max="3074" width="6.28515625" style="37" customWidth="1"/>
    <col min="3075" max="3075" width="10.28515625" style="37" customWidth="1"/>
    <col min="3076" max="3076" width="68.28515625" style="37" customWidth="1"/>
    <col min="3077" max="3077" width="17.42578125" style="37" customWidth="1"/>
    <col min="3078" max="3079" width="16.42578125" style="37" customWidth="1"/>
    <col min="3080" max="3080" width="70.28515625" style="37" customWidth="1"/>
    <col min="3081" max="3081" width="18.5703125" style="37" customWidth="1"/>
    <col min="3082" max="3082" width="16.28515625" style="37" customWidth="1"/>
    <col min="3083" max="3083" width="13.7109375" style="37" bestFit="1" customWidth="1"/>
    <col min="3084" max="3328" width="9.28515625" style="37"/>
    <col min="3329" max="3329" width="4" style="37" customWidth="1"/>
    <col min="3330" max="3330" width="6.28515625" style="37" customWidth="1"/>
    <col min="3331" max="3331" width="10.28515625" style="37" customWidth="1"/>
    <col min="3332" max="3332" width="68.28515625" style="37" customWidth="1"/>
    <col min="3333" max="3333" width="17.42578125" style="37" customWidth="1"/>
    <col min="3334" max="3335" width="16.42578125" style="37" customWidth="1"/>
    <col min="3336" max="3336" width="70.28515625" style="37" customWidth="1"/>
    <col min="3337" max="3337" width="18.5703125" style="37" customWidth="1"/>
    <col min="3338" max="3338" width="16.28515625" style="37" customWidth="1"/>
    <col min="3339" max="3339" width="13.7109375" style="37" bestFit="1" customWidth="1"/>
    <col min="3340" max="3584" width="9.28515625" style="37"/>
    <col min="3585" max="3585" width="4" style="37" customWidth="1"/>
    <col min="3586" max="3586" width="6.28515625" style="37" customWidth="1"/>
    <col min="3587" max="3587" width="10.28515625" style="37" customWidth="1"/>
    <col min="3588" max="3588" width="68.28515625" style="37" customWidth="1"/>
    <col min="3589" max="3589" width="17.42578125" style="37" customWidth="1"/>
    <col min="3590" max="3591" width="16.42578125" style="37" customWidth="1"/>
    <col min="3592" max="3592" width="70.28515625" style="37" customWidth="1"/>
    <col min="3593" max="3593" width="18.5703125" style="37" customWidth="1"/>
    <col min="3594" max="3594" width="16.28515625" style="37" customWidth="1"/>
    <col min="3595" max="3595" width="13.7109375" style="37" bestFit="1" customWidth="1"/>
    <col min="3596" max="3840" width="9.28515625" style="37"/>
    <col min="3841" max="3841" width="4" style="37" customWidth="1"/>
    <col min="3842" max="3842" width="6.28515625" style="37" customWidth="1"/>
    <col min="3843" max="3843" width="10.28515625" style="37" customWidth="1"/>
    <col min="3844" max="3844" width="68.28515625" style="37" customWidth="1"/>
    <col min="3845" max="3845" width="17.42578125" style="37" customWidth="1"/>
    <col min="3846" max="3847" width="16.42578125" style="37" customWidth="1"/>
    <col min="3848" max="3848" width="70.28515625" style="37" customWidth="1"/>
    <col min="3849" max="3849" width="18.5703125" style="37" customWidth="1"/>
    <col min="3850" max="3850" width="16.28515625" style="37" customWidth="1"/>
    <col min="3851" max="3851" width="13.7109375" style="37" bestFit="1" customWidth="1"/>
    <col min="3852" max="4096" width="9.28515625" style="37"/>
    <col min="4097" max="4097" width="4" style="37" customWidth="1"/>
    <col min="4098" max="4098" width="6.28515625" style="37" customWidth="1"/>
    <col min="4099" max="4099" width="10.28515625" style="37" customWidth="1"/>
    <col min="4100" max="4100" width="68.28515625" style="37" customWidth="1"/>
    <col min="4101" max="4101" width="17.42578125" style="37" customWidth="1"/>
    <col min="4102" max="4103" width="16.42578125" style="37" customWidth="1"/>
    <col min="4104" max="4104" width="70.28515625" style="37" customWidth="1"/>
    <col min="4105" max="4105" width="18.5703125" style="37" customWidth="1"/>
    <col min="4106" max="4106" width="16.28515625" style="37" customWidth="1"/>
    <col min="4107" max="4107" width="13.7109375" style="37" bestFit="1" customWidth="1"/>
    <col min="4108" max="4352" width="9.28515625" style="37"/>
    <col min="4353" max="4353" width="4" style="37" customWidth="1"/>
    <col min="4354" max="4354" width="6.28515625" style="37" customWidth="1"/>
    <col min="4355" max="4355" width="10.28515625" style="37" customWidth="1"/>
    <col min="4356" max="4356" width="68.28515625" style="37" customWidth="1"/>
    <col min="4357" max="4357" width="17.42578125" style="37" customWidth="1"/>
    <col min="4358" max="4359" width="16.42578125" style="37" customWidth="1"/>
    <col min="4360" max="4360" width="70.28515625" style="37" customWidth="1"/>
    <col min="4361" max="4361" width="18.5703125" style="37" customWidth="1"/>
    <col min="4362" max="4362" width="16.28515625" style="37" customWidth="1"/>
    <col min="4363" max="4363" width="13.7109375" style="37" bestFit="1" customWidth="1"/>
    <col min="4364" max="4608" width="9.28515625" style="37"/>
    <col min="4609" max="4609" width="4" style="37" customWidth="1"/>
    <col min="4610" max="4610" width="6.28515625" style="37" customWidth="1"/>
    <col min="4611" max="4611" width="10.28515625" style="37" customWidth="1"/>
    <col min="4612" max="4612" width="68.28515625" style="37" customWidth="1"/>
    <col min="4613" max="4613" width="17.42578125" style="37" customWidth="1"/>
    <col min="4614" max="4615" width="16.42578125" style="37" customWidth="1"/>
    <col min="4616" max="4616" width="70.28515625" style="37" customWidth="1"/>
    <col min="4617" max="4617" width="18.5703125" style="37" customWidth="1"/>
    <col min="4618" max="4618" width="16.28515625" style="37" customWidth="1"/>
    <col min="4619" max="4619" width="13.7109375" style="37" bestFit="1" customWidth="1"/>
    <col min="4620" max="4864" width="9.28515625" style="37"/>
    <col min="4865" max="4865" width="4" style="37" customWidth="1"/>
    <col min="4866" max="4866" width="6.28515625" style="37" customWidth="1"/>
    <col min="4867" max="4867" width="10.28515625" style="37" customWidth="1"/>
    <col min="4868" max="4868" width="68.28515625" style="37" customWidth="1"/>
    <col min="4869" max="4869" width="17.42578125" style="37" customWidth="1"/>
    <col min="4870" max="4871" width="16.42578125" style="37" customWidth="1"/>
    <col min="4872" max="4872" width="70.28515625" style="37" customWidth="1"/>
    <col min="4873" max="4873" width="18.5703125" style="37" customWidth="1"/>
    <col min="4874" max="4874" width="16.28515625" style="37" customWidth="1"/>
    <col min="4875" max="4875" width="13.7109375" style="37" bestFit="1" customWidth="1"/>
    <col min="4876" max="5120" width="9.28515625" style="37"/>
    <col min="5121" max="5121" width="4" style="37" customWidth="1"/>
    <col min="5122" max="5122" width="6.28515625" style="37" customWidth="1"/>
    <col min="5123" max="5123" width="10.28515625" style="37" customWidth="1"/>
    <col min="5124" max="5124" width="68.28515625" style="37" customWidth="1"/>
    <col min="5125" max="5125" width="17.42578125" style="37" customWidth="1"/>
    <col min="5126" max="5127" width="16.42578125" style="37" customWidth="1"/>
    <col min="5128" max="5128" width="70.28515625" style="37" customWidth="1"/>
    <col min="5129" max="5129" width="18.5703125" style="37" customWidth="1"/>
    <col min="5130" max="5130" width="16.28515625" style="37" customWidth="1"/>
    <col min="5131" max="5131" width="13.7109375" style="37" bestFit="1" customWidth="1"/>
    <col min="5132" max="5376" width="9.28515625" style="37"/>
    <col min="5377" max="5377" width="4" style="37" customWidth="1"/>
    <col min="5378" max="5378" width="6.28515625" style="37" customWidth="1"/>
    <col min="5379" max="5379" width="10.28515625" style="37" customWidth="1"/>
    <col min="5380" max="5380" width="68.28515625" style="37" customWidth="1"/>
    <col min="5381" max="5381" width="17.42578125" style="37" customWidth="1"/>
    <col min="5382" max="5383" width="16.42578125" style="37" customWidth="1"/>
    <col min="5384" max="5384" width="70.28515625" style="37" customWidth="1"/>
    <col min="5385" max="5385" width="18.5703125" style="37" customWidth="1"/>
    <col min="5386" max="5386" width="16.28515625" style="37" customWidth="1"/>
    <col min="5387" max="5387" width="13.7109375" style="37" bestFit="1" customWidth="1"/>
    <col min="5388" max="5632" width="9.28515625" style="37"/>
    <col min="5633" max="5633" width="4" style="37" customWidth="1"/>
    <col min="5634" max="5634" width="6.28515625" style="37" customWidth="1"/>
    <col min="5635" max="5635" width="10.28515625" style="37" customWidth="1"/>
    <col min="5636" max="5636" width="68.28515625" style="37" customWidth="1"/>
    <col min="5637" max="5637" width="17.42578125" style="37" customWidth="1"/>
    <col min="5638" max="5639" width="16.42578125" style="37" customWidth="1"/>
    <col min="5640" max="5640" width="70.28515625" style="37" customWidth="1"/>
    <col min="5641" max="5641" width="18.5703125" style="37" customWidth="1"/>
    <col min="5642" max="5642" width="16.28515625" style="37" customWidth="1"/>
    <col min="5643" max="5643" width="13.7109375" style="37" bestFit="1" customWidth="1"/>
    <col min="5644" max="5888" width="9.28515625" style="37"/>
    <col min="5889" max="5889" width="4" style="37" customWidth="1"/>
    <col min="5890" max="5890" width="6.28515625" style="37" customWidth="1"/>
    <col min="5891" max="5891" width="10.28515625" style="37" customWidth="1"/>
    <col min="5892" max="5892" width="68.28515625" style="37" customWidth="1"/>
    <col min="5893" max="5893" width="17.42578125" style="37" customWidth="1"/>
    <col min="5894" max="5895" width="16.42578125" style="37" customWidth="1"/>
    <col min="5896" max="5896" width="70.28515625" style="37" customWidth="1"/>
    <col min="5897" max="5897" width="18.5703125" style="37" customWidth="1"/>
    <col min="5898" max="5898" width="16.28515625" style="37" customWidth="1"/>
    <col min="5899" max="5899" width="13.7109375" style="37" bestFit="1" customWidth="1"/>
    <col min="5900" max="6144" width="9.28515625" style="37"/>
    <col min="6145" max="6145" width="4" style="37" customWidth="1"/>
    <col min="6146" max="6146" width="6.28515625" style="37" customWidth="1"/>
    <col min="6147" max="6147" width="10.28515625" style="37" customWidth="1"/>
    <col min="6148" max="6148" width="68.28515625" style="37" customWidth="1"/>
    <col min="6149" max="6149" width="17.42578125" style="37" customWidth="1"/>
    <col min="6150" max="6151" width="16.42578125" style="37" customWidth="1"/>
    <col min="6152" max="6152" width="70.28515625" style="37" customWidth="1"/>
    <col min="6153" max="6153" width="18.5703125" style="37" customWidth="1"/>
    <col min="6154" max="6154" width="16.28515625" style="37" customWidth="1"/>
    <col min="6155" max="6155" width="13.7109375" style="37" bestFit="1" customWidth="1"/>
    <col min="6156" max="6400" width="9.28515625" style="37"/>
    <col min="6401" max="6401" width="4" style="37" customWidth="1"/>
    <col min="6402" max="6402" width="6.28515625" style="37" customWidth="1"/>
    <col min="6403" max="6403" width="10.28515625" style="37" customWidth="1"/>
    <col min="6404" max="6404" width="68.28515625" style="37" customWidth="1"/>
    <col min="6405" max="6405" width="17.42578125" style="37" customWidth="1"/>
    <col min="6406" max="6407" width="16.42578125" style="37" customWidth="1"/>
    <col min="6408" max="6408" width="70.28515625" style="37" customWidth="1"/>
    <col min="6409" max="6409" width="18.5703125" style="37" customWidth="1"/>
    <col min="6410" max="6410" width="16.28515625" style="37" customWidth="1"/>
    <col min="6411" max="6411" width="13.7109375" style="37" bestFit="1" customWidth="1"/>
    <col min="6412" max="6656" width="9.28515625" style="37"/>
    <col min="6657" max="6657" width="4" style="37" customWidth="1"/>
    <col min="6658" max="6658" width="6.28515625" style="37" customWidth="1"/>
    <col min="6659" max="6659" width="10.28515625" style="37" customWidth="1"/>
    <col min="6660" max="6660" width="68.28515625" style="37" customWidth="1"/>
    <col min="6661" max="6661" width="17.42578125" style="37" customWidth="1"/>
    <col min="6662" max="6663" width="16.42578125" style="37" customWidth="1"/>
    <col min="6664" max="6664" width="70.28515625" style="37" customWidth="1"/>
    <col min="6665" max="6665" width="18.5703125" style="37" customWidth="1"/>
    <col min="6666" max="6666" width="16.28515625" style="37" customWidth="1"/>
    <col min="6667" max="6667" width="13.7109375" style="37" bestFit="1" customWidth="1"/>
    <col min="6668" max="6912" width="9.28515625" style="37"/>
    <col min="6913" max="6913" width="4" style="37" customWidth="1"/>
    <col min="6914" max="6914" width="6.28515625" style="37" customWidth="1"/>
    <col min="6915" max="6915" width="10.28515625" style="37" customWidth="1"/>
    <col min="6916" max="6916" width="68.28515625" style="37" customWidth="1"/>
    <col min="6917" max="6917" width="17.42578125" style="37" customWidth="1"/>
    <col min="6918" max="6919" width="16.42578125" style="37" customWidth="1"/>
    <col min="6920" max="6920" width="70.28515625" style="37" customWidth="1"/>
    <col min="6921" max="6921" width="18.5703125" style="37" customWidth="1"/>
    <col min="6922" max="6922" width="16.28515625" style="37" customWidth="1"/>
    <col min="6923" max="6923" width="13.7109375" style="37" bestFit="1" customWidth="1"/>
    <col min="6924" max="7168" width="9.28515625" style="37"/>
    <col min="7169" max="7169" width="4" style="37" customWidth="1"/>
    <col min="7170" max="7170" width="6.28515625" style="37" customWidth="1"/>
    <col min="7171" max="7171" width="10.28515625" style="37" customWidth="1"/>
    <col min="7172" max="7172" width="68.28515625" style="37" customWidth="1"/>
    <col min="7173" max="7173" width="17.42578125" style="37" customWidth="1"/>
    <col min="7174" max="7175" width="16.42578125" style="37" customWidth="1"/>
    <col min="7176" max="7176" width="70.28515625" style="37" customWidth="1"/>
    <col min="7177" max="7177" width="18.5703125" style="37" customWidth="1"/>
    <col min="7178" max="7178" width="16.28515625" style="37" customWidth="1"/>
    <col min="7179" max="7179" width="13.7109375" style="37" bestFit="1" customWidth="1"/>
    <col min="7180" max="7424" width="9.28515625" style="37"/>
    <col min="7425" max="7425" width="4" style="37" customWidth="1"/>
    <col min="7426" max="7426" width="6.28515625" style="37" customWidth="1"/>
    <col min="7427" max="7427" width="10.28515625" style="37" customWidth="1"/>
    <col min="7428" max="7428" width="68.28515625" style="37" customWidth="1"/>
    <col min="7429" max="7429" width="17.42578125" style="37" customWidth="1"/>
    <col min="7430" max="7431" width="16.42578125" style="37" customWidth="1"/>
    <col min="7432" max="7432" width="70.28515625" style="37" customWidth="1"/>
    <col min="7433" max="7433" width="18.5703125" style="37" customWidth="1"/>
    <col min="7434" max="7434" width="16.28515625" style="37" customWidth="1"/>
    <col min="7435" max="7435" width="13.7109375" style="37" bestFit="1" customWidth="1"/>
    <col min="7436" max="7680" width="9.28515625" style="37"/>
    <col min="7681" max="7681" width="4" style="37" customWidth="1"/>
    <col min="7682" max="7682" width="6.28515625" style="37" customWidth="1"/>
    <col min="7683" max="7683" width="10.28515625" style="37" customWidth="1"/>
    <col min="7684" max="7684" width="68.28515625" style="37" customWidth="1"/>
    <col min="7685" max="7685" width="17.42578125" style="37" customWidth="1"/>
    <col min="7686" max="7687" width="16.42578125" style="37" customWidth="1"/>
    <col min="7688" max="7688" width="70.28515625" style="37" customWidth="1"/>
    <col min="7689" max="7689" width="18.5703125" style="37" customWidth="1"/>
    <col min="7690" max="7690" width="16.28515625" style="37" customWidth="1"/>
    <col min="7691" max="7691" width="13.7109375" style="37" bestFit="1" customWidth="1"/>
    <col min="7692" max="7936" width="9.28515625" style="37"/>
    <col min="7937" max="7937" width="4" style="37" customWidth="1"/>
    <col min="7938" max="7938" width="6.28515625" style="37" customWidth="1"/>
    <col min="7939" max="7939" width="10.28515625" style="37" customWidth="1"/>
    <col min="7940" max="7940" width="68.28515625" style="37" customWidth="1"/>
    <col min="7941" max="7941" width="17.42578125" style="37" customWidth="1"/>
    <col min="7942" max="7943" width="16.42578125" style="37" customWidth="1"/>
    <col min="7944" max="7944" width="70.28515625" style="37" customWidth="1"/>
    <col min="7945" max="7945" width="18.5703125" style="37" customWidth="1"/>
    <col min="7946" max="7946" width="16.28515625" style="37" customWidth="1"/>
    <col min="7947" max="7947" width="13.7109375" style="37" bestFit="1" customWidth="1"/>
    <col min="7948" max="8192" width="9.28515625" style="37"/>
    <col min="8193" max="8193" width="4" style="37" customWidth="1"/>
    <col min="8194" max="8194" width="6.28515625" style="37" customWidth="1"/>
    <col min="8195" max="8195" width="10.28515625" style="37" customWidth="1"/>
    <col min="8196" max="8196" width="68.28515625" style="37" customWidth="1"/>
    <col min="8197" max="8197" width="17.42578125" style="37" customWidth="1"/>
    <col min="8198" max="8199" width="16.42578125" style="37" customWidth="1"/>
    <col min="8200" max="8200" width="70.28515625" style="37" customWidth="1"/>
    <col min="8201" max="8201" width="18.5703125" style="37" customWidth="1"/>
    <col min="8202" max="8202" width="16.28515625" style="37" customWidth="1"/>
    <col min="8203" max="8203" width="13.7109375" style="37" bestFit="1" customWidth="1"/>
    <col min="8204" max="8448" width="9.28515625" style="37"/>
    <col min="8449" max="8449" width="4" style="37" customWidth="1"/>
    <col min="8450" max="8450" width="6.28515625" style="37" customWidth="1"/>
    <col min="8451" max="8451" width="10.28515625" style="37" customWidth="1"/>
    <col min="8452" max="8452" width="68.28515625" style="37" customWidth="1"/>
    <col min="8453" max="8453" width="17.42578125" style="37" customWidth="1"/>
    <col min="8454" max="8455" width="16.42578125" style="37" customWidth="1"/>
    <col min="8456" max="8456" width="70.28515625" style="37" customWidth="1"/>
    <col min="8457" max="8457" width="18.5703125" style="37" customWidth="1"/>
    <col min="8458" max="8458" width="16.28515625" style="37" customWidth="1"/>
    <col min="8459" max="8459" width="13.7109375" style="37" bestFit="1" customWidth="1"/>
    <col min="8460" max="8704" width="9.28515625" style="37"/>
    <col min="8705" max="8705" width="4" style="37" customWidth="1"/>
    <col min="8706" max="8706" width="6.28515625" style="37" customWidth="1"/>
    <col min="8707" max="8707" width="10.28515625" style="37" customWidth="1"/>
    <col min="8708" max="8708" width="68.28515625" style="37" customWidth="1"/>
    <col min="8709" max="8709" width="17.42578125" style="37" customWidth="1"/>
    <col min="8710" max="8711" width="16.42578125" style="37" customWidth="1"/>
    <col min="8712" max="8712" width="70.28515625" style="37" customWidth="1"/>
    <col min="8713" max="8713" width="18.5703125" style="37" customWidth="1"/>
    <col min="8714" max="8714" width="16.28515625" style="37" customWidth="1"/>
    <col min="8715" max="8715" width="13.7109375" style="37" bestFit="1" customWidth="1"/>
    <col min="8716" max="8960" width="9.28515625" style="37"/>
    <col min="8961" max="8961" width="4" style="37" customWidth="1"/>
    <col min="8962" max="8962" width="6.28515625" style="37" customWidth="1"/>
    <col min="8963" max="8963" width="10.28515625" style="37" customWidth="1"/>
    <col min="8964" max="8964" width="68.28515625" style="37" customWidth="1"/>
    <col min="8965" max="8965" width="17.42578125" style="37" customWidth="1"/>
    <col min="8966" max="8967" width="16.42578125" style="37" customWidth="1"/>
    <col min="8968" max="8968" width="70.28515625" style="37" customWidth="1"/>
    <col min="8969" max="8969" width="18.5703125" style="37" customWidth="1"/>
    <col min="8970" max="8970" width="16.28515625" style="37" customWidth="1"/>
    <col min="8971" max="8971" width="13.7109375" style="37" bestFit="1" customWidth="1"/>
    <col min="8972" max="9216" width="9.28515625" style="37"/>
    <col min="9217" max="9217" width="4" style="37" customWidth="1"/>
    <col min="9218" max="9218" width="6.28515625" style="37" customWidth="1"/>
    <col min="9219" max="9219" width="10.28515625" style="37" customWidth="1"/>
    <col min="9220" max="9220" width="68.28515625" style="37" customWidth="1"/>
    <col min="9221" max="9221" width="17.42578125" style="37" customWidth="1"/>
    <col min="9222" max="9223" width="16.42578125" style="37" customWidth="1"/>
    <col min="9224" max="9224" width="70.28515625" style="37" customWidth="1"/>
    <col min="9225" max="9225" width="18.5703125" style="37" customWidth="1"/>
    <col min="9226" max="9226" width="16.28515625" style="37" customWidth="1"/>
    <col min="9227" max="9227" width="13.7109375" style="37" bestFit="1" customWidth="1"/>
    <col min="9228" max="9472" width="9.28515625" style="37"/>
    <col min="9473" max="9473" width="4" style="37" customWidth="1"/>
    <col min="9474" max="9474" width="6.28515625" style="37" customWidth="1"/>
    <col min="9475" max="9475" width="10.28515625" style="37" customWidth="1"/>
    <col min="9476" max="9476" width="68.28515625" style="37" customWidth="1"/>
    <col min="9477" max="9477" width="17.42578125" style="37" customWidth="1"/>
    <col min="9478" max="9479" width="16.42578125" style="37" customWidth="1"/>
    <col min="9480" max="9480" width="70.28515625" style="37" customWidth="1"/>
    <col min="9481" max="9481" width="18.5703125" style="37" customWidth="1"/>
    <col min="9482" max="9482" width="16.28515625" style="37" customWidth="1"/>
    <col min="9483" max="9483" width="13.7109375" style="37" bestFit="1" customWidth="1"/>
    <col min="9484" max="9728" width="9.28515625" style="37"/>
    <col min="9729" max="9729" width="4" style="37" customWidth="1"/>
    <col min="9730" max="9730" width="6.28515625" style="37" customWidth="1"/>
    <col min="9731" max="9731" width="10.28515625" style="37" customWidth="1"/>
    <col min="9732" max="9732" width="68.28515625" style="37" customWidth="1"/>
    <col min="9733" max="9733" width="17.42578125" style="37" customWidth="1"/>
    <col min="9734" max="9735" width="16.42578125" style="37" customWidth="1"/>
    <col min="9736" max="9736" width="70.28515625" style="37" customWidth="1"/>
    <col min="9737" max="9737" width="18.5703125" style="37" customWidth="1"/>
    <col min="9738" max="9738" width="16.28515625" style="37" customWidth="1"/>
    <col min="9739" max="9739" width="13.7109375" style="37" bestFit="1" customWidth="1"/>
    <col min="9740" max="9984" width="9.28515625" style="37"/>
    <col min="9985" max="9985" width="4" style="37" customWidth="1"/>
    <col min="9986" max="9986" width="6.28515625" style="37" customWidth="1"/>
    <col min="9987" max="9987" width="10.28515625" style="37" customWidth="1"/>
    <col min="9988" max="9988" width="68.28515625" style="37" customWidth="1"/>
    <col min="9989" max="9989" width="17.42578125" style="37" customWidth="1"/>
    <col min="9990" max="9991" width="16.42578125" style="37" customWidth="1"/>
    <col min="9992" max="9992" width="70.28515625" style="37" customWidth="1"/>
    <col min="9993" max="9993" width="18.5703125" style="37" customWidth="1"/>
    <col min="9994" max="9994" width="16.28515625" style="37" customWidth="1"/>
    <col min="9995" max="9995" width="13.7109375" style="37" bestFit="1" customWidth="1"/>
    <col min="9996" max="10240" width="9.28515625" style="37"/>
    <col min="10241" max="10241" width="4" style="37" customWidth="1"/>
    <col min="10242" max="10242" width="6.28515625" style="37" customWidth="1"/>
    <col min="10243" max="10243" width="10.28515625" style="37" customWidth="1"/>
    <col min="10244" max="10244" width="68.28515625" style="37" customWidth="1"/>
    <col min="10245" max="10245" width="17.42578125" style="37" customWidth="1"/>
    <col min="10246" max="10247" width="16.42578125" style="37" customWidth="1"/>
    <col min="10248" max="10248" width="70.28515625" style="37" customWidth="1"/>
    <col min="10249" max="10249" width="18.5703125" style="37" customWidth="1"/>
    <col min="10250" max="10250" width="16.28515625" style="37" customWidth="1"/>
    <col min="10251" max="10251" width="13.7109375" style="37" bestFit="1" customWidth="1"/>
    <col min="10252" max="10496" width="9.28515625" style="37"/>
    <col min="10497" max="10497" width="4" style="37" customWidth="1"/>
    <col min="10498" max="10498" width="6.28515625" style="37" customWidth="1"/>
    <col min="10499" max="10499" width="10.28515625" style="37" customWidth="1"/>
    <col min="10500" max="10500" width="68.28515625" style="37" customWidth="1"/>
    <col min="10501" max="10501" width="17.42578125" style="37" customWidth="1"/>
    <col min="10502" max="10503" width="16.42578125" style="37" customWidth="1"/>
    <col min="10504" max="10504" width="70.28515625" style="37" customWidth="1"/>
    <col min="10505" max="10505" width="18.5703125" style="37" customWidth="1"/>
    <col min="10506" max="10506" width="16.28515625" style="37" customWidth="1"/>
    <col min="10507" max="10507" width="13.7109375" style="37" bestFit="1" customWidth="1"/>
    <col min="10508" max="10752" width="9.28515625" style="37"/>
    <col min="10753" max="10753" width="4" style="37" customWidth="1"/>
    <col min="10754" max="10754" width="6.28515625" style="37" customWidth="1"/>
    <col min="10755" max="10755" width="10.28515625" style="37" customWidth="1"/>
    <col min="10756" max="10756" width="68.28515625" style="37" customWidth="1"/>
    <col min="10757" max="10757" width="17.42578125" style="37" customWidth="1"/>
    <col min="10758" max="10759" width="16.42578125" style="37" customWidth="1"/>
    <col min="10760" max="10760" width="70.28515625" style="37" customWidth="1"/>
    <col min="10761" max="10761" width="18.5703125" style="37" customWidth="1"/>
    <col min="10762" max="10762" width="16.28515625" style="37" customWidth="1"/>
    <col min="10763" max="10763" width="13.7109375" style="37" bestFit="1" customWidth="1"/>
    <col min="10764" max="11008" width="9.28515625" style="37"/>
    <col min="11009" max="11009" width="4" style="37" customWidth="1"/>
    <col min="11010" max="11010" width="6.28515625" style="37" customWidth="1"/>
    <col min="11011" max="11011" width="10.28515625" style="37" customWidth="1"/>
    <col min="11012" max="11012" width="68.28515625" style="37" customWidth="1"/>
    <col min="11013" max="11013" width="17.42578125" style="37" customWidth="1"/>
    <col min="11014" max="11015" width="16.42578125" style="37" customWidth="1"/>
    <col min="11016" max="11016" width="70.28515625" style="37" customWidth="1"/>
    <col min="11017" max="11017" width="18.5703125" style="37" customWidth="1"/>
    <col min="11018" max="11018" width="16.28515625" style="37" customWidth="1"/>
    <col min="11019" max="11019" width="13.7109375" style="37" bestFit="1" customWidth="1"/>
    <col min="11020" max="11264" width="9.28515625" style="37"/>
    <col min="11265" max="11265" width="4" style="37" customWidth="1"/>
    <col min="11266" max="11266" width="6.28515625" style="37" customWidth="1"/>
    <col min="11267" max="11267" width="10.28515625" style="37" customWidth="1"/>
    <col min="11268" max="11268" width="68.28515625" style="37" customWidth="1"/>
    <col min="11269" max="11269" width="17.42578125" style="37" customWidth="1"/>
    <col min="11270" max="11271" width="16.42578125" style="37" customWidth="1"/>
    <col min="11272" max="11272" width="70.28515625" style="37" customWidth="1"/>
    <col min="11273" max="11273" width="18.5703125" style="37" customWidth="1"/>
    <col min="11274" max="11274" width="16.28515625" style="37" customWidth="1"/>
    <col min="11275" max="11275" width="13.7109375" style="37" bestFit="1" customWidth="1"/>
    <col min="11276" max="11520" width="9.28515625" style="37"/>
    <col min="11521" max="11521" width="4" style="37" customWidth="1"/>
    <col min="11522" max="11522" width="6.28515625" style="37" customWidth="1"/>
    <col min="11523" max="11523" width="10.28515625" style="37" customWidth="1"/>
    <col min="11524" max="11524" width="68.28515625" style="37" customWidth="1"/>
    <col min="11525" max="11525" width="17.42578125" style="37" customWidth="1"/>
    <col min="11526" max="11527" width="16.42578125" style="37" customWidth="1"/>
    <col min="11528" max="11528" width="70.28515625" style="37" customWidth="1"/>
    <col min="11529" max="11529" width="18.5703125" style="37" customWidth="1"/>
    <col min="11530" max="11530" width="16.28515625" style="37" customWidth="1"/>
    <col min="11531" max="11531" width="13.7109375" style="37" bestFit="1" customWidth="1"/>
    <col min="11532" max="11776" width="9.28515625" style="37"/>
    <col min="11777" max="11777" width="4" style="37" customWidth="1"/>
    <col min="11778" max="11778" width="6.28515625" style="37" customWidth="1"/>
    <col min="11779" max="11779" width="10.28515625" style="37" customWidth="1"/>
    <col min="11780" max="11780" width="68.28515625" style="37" customWidth="1"/>
    <col min="11781" max="11781" width="17.42578125" style="37" customWidth="1"/>
    <col min="11782" max="11783" width="16.42578125" style="37" customWidth="1"/>
    <col min="11784" max="11784" width="70.28515625" style="37" customWidth="1"/>
    <col min="11785" max="11785" width="18.5703125" style="37" customWidth="1"/>
    <col min="11786" max="11786" width="16.28515625" style="37" customWidth="1"/>
    <col min="11787" max="11787" width="13.7109375" style="37" bestFit="1" customWidth="1"/>
    <col min="11788" max="12032" width="9.28515625" style="37"/>
    <col min="12033" max="12033" width="4" style="37" customWidth="1"/>
    <col min="12034" max="12034" width="6.28515625" style="37" customWidth="1"/>
    <col min="12035" max="12035" width="10.28515625" style="37" customWidth="1"/>
    <col min="12036" max="12036" width="68.28515625" style="37" customWidth="1"/>
    <col min="12037" max="12037" width="17.42578125" style="37" customWidth="1"/>
    <col min="12038" max="12039" width="16.42578125" style="37" customWidth="1"/>
    <col min="12040" max="12040" width="70.28515625" style="37" customWidth="1"/>
    <col min="12041" max="12041" width="18.5703125" style="37" customWidth="1"/>
    <col min="12042" max="12042" width="16.28515625" style="37" customWidth="1"/>
    <col min="12043" max="12043" width="13.7109375" style="37" bestFit="1" customWidth="1"/>
    <col min="12044" max="12288" width="9.28515625" style="37"/>
    <col min="12289" max="12289" width="4" style="37" customWidth="1"/>
    <col min="12290" max="12290" width="6.28515625" style="37" customWidth="1"/>
    <col min="12291" max="12291" width="10.28515625" style="37" customWidth="1"/>
    <col min="12292" max="12292" width="68.28515625" style="37" customWidth="1"/>
    <col min="12293" max="12293" width="17.42578125" style="37" customWidth="1"/>
    <col min="12294" max="12295" width="16.42578125" style="37" customWidth="1"/>
    <col min="12296" max="12296" width="70.28515625" style="37" customWidth="1"/>
    <col min="12297" max="12297" width="18.5703125" style="37" customWidth="1"/>
    <col min="12298" max="12298" width="16.28515625" style="37" customWidth="1"/>
    <col min="12299" max="12299" width="13.7109375" style="37" bestFit="1" customWidth="1"/>
    <col min="12300" max="12544" width="9.28515625" style="37"/>
    <col min="12545" max="12545" width="4" style="37" customWidth="1"/>
    <col min="12546" max="12546" width="6.28515625" style="37" customWidth="1"/>
    <col min="12547" max="12547" width="10.28515625" style="37" customWidth="1"/>
    <col min="12548" max="12548" width="68.28515625" style="37" customWidth="1"/>
    <col min="12549" max="12549" width="17.42578125" style="37" customWidth="1"/>
    <col min="12550" max="12551" width="16.42578125" style="37" customWidth="1"/>
    <col min="12552" max="12552" width="70.28515625" style="37" customWidth="1"/>
    <col min="12553" max="12553" width="18.5703125" style="37" customWidth="1"/>
    <col min="12554" max="12554" width="16.28515625" style="37" customWidth="1"/>
    <col min="12555" max="12555" width="13.7109375" style="37" bestFit="1" customWidth="1"/>
    <col min="12556" max="12800" width="9.28515625" style="37"/>
    <col min="12801" max="12801" width="4" style="37" customWidth="1"/>
    <col min="12802" max="12802" width="6.28515625" style="37" customWidth="1"/>
    <col min="12803" max="12803" width="10.28515625" style="37" customWidth="1"/>
    <col min="12804" max="12804" width="68.28515625" style="37" customWidth="1"/>
    <col min="12805" max="12805" width="17.42578125" style="37" customWidth="1"/>
    <col min="12806" max="12807" width="16.42578125" style="37" customWidth="1"/>
    <col min="12808" max="12808" width="70.28515625" style="37" customWidth="1"/>
    <col min="12809" max="12809" width="18.5703125" style="37" customWidth="1"/>
    <col min="12810" max="12810" width="16.28515625" style="37" customWidth="1"/>
    <col min="12811" max="12811" width="13.7109375" style="37" bestFit="1" customWidth="1"/>
    <col min="12812" max="13056" width="9.28515625" style="37"/>
    <col min="13057" max="13057" width="4" style="37" customWidth="1"/>
    <col min="13058" max="13058" width="6.28515625" style="37" customWidth="1"/>
    <col min="13059" max="13059" width="10.28515625" style="37" customWidth="1"/>
    <col min="13060" max="13060" width="68.28515625" style="37" customWidth="1"/>
    <col min="13061" max="13061" width="17.42578125" style="37" customWidth="1"/>
    <col min="13062" max="13063" width="16.42578125" style="37" customWidth="1"/>
    <col min="13064" max="13064" width="70.28515625" style="37" customWidth="1"/>
    <col min="13065" max="13065" width="18.5703125" style="37" customWidth="1"/>
    <col min="13066" max="13066" width="16.28515625" style="37" customWidth="1"/>
    <col min="13067" max="13067" width="13.7109375" style="37" bestFit="1" customWidth="1"/>
    <col min="13068" max="13312" width="9.28515625" style="37"/>
    <col min="13313" max="13313" width="4" style="37" customWidth="1"/>
    <col min="13314" max="13314" width="6.28515625" style="37" customWidth="1"/>
    <col min="13315" max="13315" width="10.28515625" style="37" customWidth="1"/>
    <col min="13316" max="13316" width="68.28515625" style="37" customWidth="1"/>
    <col min="13317" max="13317" width="17.42578125" style="37" customWidth="1"/>
    <col min="13318" max="13319" width="16.42578125" style="37" customWidth="1"/>
    <col min="13320" max="13320" width="70.28515625" style="37" customWidth="1"/>
    <col min="13321" max="13321" width="18.5703125" style="37" customWidth="1"/>
    <col min="13322" max="13322" width="16.28515625" style="37" customWidth="1"/>
    <col min="13323" max="13323" width="13.7109375" style="37" bestFit="1" customWidth="1"/>
    <col min="13324" max="13568" width="9.28515625" style="37"/>
    <col min="13569" max="13569" width="4" style="37" customWidth="1"/>
    <col min="13570" max="13570" width="6.28515625" style="37" customWidth="1"/>
    <col min="13571" max="13571" width="10.28515625" style="37" customWidth="1"/>
    <col min="13572" max="13572" width="68.28515625" style="37" customWidth="1"/>
    <col min="13573" max="13573" width="17.42578125" style="37" customWidth="1"/>
    <col min="13574" max="13575" width="16.42578125" style="37" customWidth="1"/>
    <col min="13576" max="13576" width="70.28515625" style="37" customWidth="1"/>
    <col min="13577" max="13577" width="18.5703125" style="37" customWidth="1"/>
    <col min="13578" max="13578" width="16.28515625" style="37" customWidth="1"/>
    <col min="13579" max="13579" width="13.7109375" style="37" bestFit="1" customWidth="1"/>
    <col min="13580" max="13824" width="9.28515625" style="37"/>
    <col min="13825" max="13825" width="4" style="37" customWidth="1"/>
    <col min="13826" max="13826" width="6.28515625" style="37" customWidth="1"/>
    <col min="13827" max="13827" width="10.28515625" style="37" customWidth="1"/>
    <col min="13828" max="13828" width="68.28515625" style="37" customWidth="1"/>
    <col min="13829" max="13829" width="17.42578125" style="37" customWidth="1"/>
    <col min="13830" max="13831" width="16.42578125" style="37" customWidth="1"/>
    <col min="13832" max="13832" width="70.28515625" style="37" customWidth="1"/>
    <col min="13833" max="13833" width="18.5703125" style="37" customWidth="1"/>
    <col min="13834" max="13834" width="16.28515625" style="37" customWidth="1"/>
    <col min="13835" max="13835" width="13.7109375" style="37" bestFit="1" customWidth="1"/>
    <col min="13836" max="14080" width="9.28515625" style="37"/>
    <col min="14081" max="14081" width="4" style="37" customWidth="1"/>
    <col min="14082" max="14082" width="6.28515625" style="37" customWidth="1"/>
    <col min="14083" max="14083" width="10.28515625" style="37" customWidth="1"/>
    <col min="14084" max="14084" width="68.28515625" style="37" customWidth="1"/>
    <col min="14085" max="14085" width="17.42578125" style="37" customWidth="1"/>
    <col min="14086" max="14087" width="16.42578125" style="37" customWidth="1"/>
    <col min="14088" max="14088" width="70.28515625" style="37" customWidth="1"/>
    <col min="14089" max="14089" width="18.5703125" style="37" customWidth="1"/>
    <col min="14090" max="14090" width="16.28515625" style="37" customWidth="1"/>
    <col min="14091" max="14091" width="13.7109375" style="37" bestFit="1" customWidth="1"/>
    <col min="14092" max="14336" width="9.28515625" style="37"/>
    <col min="14337" max="14337" width="4" style="37" customWidth="1"/>
    <col min="14338" max="14338" width="6.28515625" style="37" customWidth="1"/>
    <col min="14339" max="14339" width="10.28515625" style="37" customWidth="1"/>
    <col min="14340" max="14340" width="68.28515625" style="37" customWidth="1"/>
    <col min="14341" max="14341" width="17.42578125" style="37" customWidth="1"/>
    <col min="14342" max="14343" width="16.42578125" style="37" customWidth="1"/>
    <col min="14344" max="14344" width="70.28515625" style="37" customWidth="1"/>
    <col min="14345" max="14345" width="18.5703125" style="37" customWidth="1"/>
    <col min="14346" max="14346" width="16.28515625" style="37" customWidth="1"/>
    <col min="14347" max="14347" width="13.7109375" style="37" bestFit="1" customWidth="1"/>
    <col min="14348" max="14592" width="9.28515625" style="37"/>
    <col min="14593" max="14593" width="4" style="37" customWidth="1"/>
    <col min="14594" max="14594" width="6.28515625" style="37" customWidth="1"/>
    <col min="14595" max="14595" width="10.28515625" style="37" customWidth="1"/>
    <col min="14596" max="14596" width="68.28515625" style="37" customWidth="1"/>
    <col min="14597" max="14597" width="17.42578125" style="37" customWidth="1"/>
    <col min="14598" max="14599" width="16.42578125" style="37" customWidth="1"/>
    <col min="14600" max="14600" width="70.28515625" style="37" customWidth="1"/>
    <col min="14601" max="14601" width="18.5703125" style="37" customWidth="1"/>
    <col min="14602" max="14602" width="16.28515625" style="37" customWidth="1"/>
    <col min="14603" max="14603" width="13.7109375" style="37" bestFit="1" customWidth="1"/>
    <col min="14604" max="14848" width="9.28515625" style="37"/>
    <col min="14849" max="14849" width="4" style="37" customWidth="1"/>
    <col min="14850" max="14850" width="6.28515625" style="37" customWidth="1"/>
    <col min="14851" max="14851" width="10.28515625" style="37" customWidth="1"/>
    <col min="14852" max="14852" width="68.28515625" style="37" customWidth="1"/>
    <col min="14853" max="14853" width="17.42578125" style="37" customWidth="1"/>
    <col min="14854" max="14855" width="16.42578125" style="37" customWidth="1"/>
    <col min="14856" max="14856" width="70.28515625" style="37" customWidth="1"/>
    <col min="14857" max="14857" width="18.5703125" style="37" customWidth="1"/>
    <col min="14858" max="14858" width="16.28515625" style="37" customWidth="1"/>
    <col min="14859" max="14859" width="13.7109375" style="37" bestFit="1" customWidth="1"/>
    <col min="14860" max="15104" width="9.28515625" style="37"/>
    <col min="15105" max="15105" width="4" style="37" customWidth="1"/>
    <col min="15106" max="15106" width="6.28515625" style="37" customWidth="1"/>
    <col min="15107" max="15107" width="10.28515625" style="37" customWidth="1"/>
    <col min="15108" max="15108" width="68.28515625" style="37" customWidth="1"/>
    <col min="15109" max="15109" width="17.42578125" style="37" customWidth="1"/>
    <col min="15110" max="15111" width="16.42578125" style="37" customWidth="1"/>
    <col min="15112" max="15112" width="70.28515625" style="37" customWidth="1"/>
    <col min="15113" max="15113" width="18.5703125" style="37" customWidth="1"/>
    <col min="15114" max="15114" width="16.28515625" style="37" customWidth="1"/>
    <col min="15115" max="15115" width="13.7109375" style="37" bestFit="1" customWidth="1"/>
    <col min="15116" max="15360" width="9.28515625" style="37"/>
    <col min="15361" max="15361" width="4" style="37" customWidth="1"/>
    <col min="15362" max="15362" width="6.28515625" style="37" customWidth="1"/>
    <col min="15363" max="15363" width="10.28515625" style="37" customWidth="1"/>
    <col min="15364" max="15364" width="68.28515625" style="37" customWidth="1"/>
    <col min="15365" max="15365" width="17.42578125" style="37" customWidth="1"/>
    <col min="15366" max="15367" width="16.42578125" style="37" customWidth="1"/>
    <col min="15368" max="15368" width="70.28515625" style="37" customWidth="1"/>
    <col min="15369" max="15369" width="18.5703125" style="37" customWidth="1"/>
    <col min="15370" max="15370" width="16.28515625" style="37" customWidth="1"/>
    <col min="15371" max="15371" width="13.7109375" style="37" bestFit="1" customWidth="1"/>
    <col min="15372" max="15616" width="9.28515625" style="37"/>
    <col min="15617" max="15617" width="4" style="37" customWidth="1"/>
    <col min="15618" max="15618" width="6.28515625" style="37" customWidth="1"/>
    <col min="15619" max="15619" width="10.28515625" style="37" customWidth="1"/>
    <col min="15620" max="15620" width="68.28515625" style="37" customWidth="1"/>
    <col min="15621" max="15621" width="17.42578125" style="37" customWidth="1"/>
    <col min="15622" max="15623" width="16.42578125" style="37" customWidth="1"/>
    <col min="15624" max="15624" width="70.28515625" style="37" customWidth="1"/>
    <col min="15625" max="15625" width="18.5703125" style="37" customWidth="1"/>
    <col min="15626" max="15626" width="16.28515625" style="37" customWidth="1"/>
    <col min="15627" max="15627" width="13.7109375" style="37" bestFit="1" customWidth="1"/>
    <col min="15628" max="15872" width="9.28515625" style="37"/>
    <col min="15873" max="15873" width="4" style="37" customWidth="1"/>
    <col min="15874" max="15874" width="6.28515625" style="37" customWidth="1"/>
    <col min="15875" max="15875" width="10.28515625" style="37" customWidth="1"/>
    <col min="15876" max="15876" width="68.28515625" style="37" customWidth="1"/>
    <col min="15877" max="15877" width="17.42578125" style="37" customWidth="1"/>
    <col min="15878" max="15879" width="16.42578125" style="37" customWidth="1"/>
    <col min="15880" max="15880" width="70.28515625" style="37" customWidth="1"/>
    <col min="15881" max="15881" width="18.5703125" style="37" customWidth="1"/>
    <col min="15882" max="15882" width="16.28515625" style="37" customWidth="1"/>
    <col min="15883" max="15883" width="13.7109375" style="37" bestFit="1" customWidth="1"/>
    <col min="15884" max="16128" width="9.28515625" style="37"/>
    <col min="16129" max="16129" width="4" style="37" customWidth="1"/>
    <col min="16130" max="16130" width="6.28515625" style="37" customWidth="1"/>
    <col min="16131" max="16131" width="10.28515625" style="37" customWidth="1"/>
    <col min="16132" max="16132" width="68.28515625" style="37" customWidth="1"/>
    <col min="16133" max="16133" width="17.42578125" style="37" customWidth="1"/>
    <col min="16134" max="16135" width="16.42578125" style="37" customWidth="1"/>
    <col min="16136" max="16136" width="70.28515625" style="37" customWidth="1"/>
    <col min="16137" max="16137" width="18.5703125" style="37" customWidth="1"/>
    <col min="16138" max="16138" width="16.28515625" style="37" customWidth="1"/>
    <col min="16139" max="16139" width="13.7109375" style="37" bestFit="1" customWidth="1"/>
    <col min="16140" max="16384" width="9.28515625" style="37"/>
  </cols>
  <sheetData>
    <row r="1" spans="1:10" ht="17.25" customHeight="1">
      <c r="A1" s="536"/>
      <c r="B1" s="536"/>
      <c r="C1" s="536"/>
      <c r="F1" s="536"/>
      <c r="G1" s="536"/>
      <c r="H1" s="34"/>
      <c r="J1" s="538" t="s">
        <v>739</v>
      </c>
    </row>
    <row r="2" spans="1:10" s="59" customFormat="1" ht="33.75" customHeight="1">
      <c r="A2" s="1787" t="s">
        <v>905</v>
      </c>
      <c r="B2" s="1787"/>
      <c r="C2" s="1787"/>
      <c r="D2" s="1787"/>
      <c r="E2" s="1787"/>
      <c r="F2" s="1787"/>
      <c r="G2" s="1787"/>
      <c r="H2" s="1787"/>
      <c r="I2" s="1787"/>
      <c r="J2" s="1787"/>
    </row>
    <row r="3" spans="1:10" ht="15.75">
      <c r="D3" s="540"/>
      <c r="E3" s="541"/>
      <c r="I3" s="542"/>
      <c r="J3" s="543" t="s">
        <v>771</v>
      </c>
    </row>
    <row r="4" spans="1:10" ht="18.75">
      <c r="A4" s="1998" t="s">
        <v>772</v>
      </c>
      <c r="B4" s="2008"/>
      <c r="C4" s="2008"/>
      <c r="D4" s="2008"/>
      <c r="E4" s="1999"/>
      <c r="F4" s="1998" t="s">
        <v>773</v>
      </c>
      <c r="G4" s="2009"/>
      <c r="H4" s="2009"/>
      <c r="I4" s="2010"/>
      <c r="J4" s="2011" t="s">
        <v>774</v>
      </c>
    </row>
    <row r="5" spans="1:10" ht="38.25" customHeight="1">
      <c r="A5" s="544" t="s">
        <v>291</v>
      </c>
      <c r="B5" s="1998" t="s">
        <v>776</v>
      </c>
      <c r="C5" s="1999"/>
      <c r="D5" s="545" t="s">
        <v>775</v>
      </c>
      <c r="E5" s="545" t="s">
        <v>58</v>
      </c>
      <c r="F5" s="1998" t="s">
        <v>776</v>
      </c>
      <c r="G5" s="1999"/>
      <c r="H5" s="545" t="s">
        <v>775</v>
      </c>
      <c r="I5" s="545" t="s">
        <v>58</v>
      </c>
      <c r="J5" s="2012"/>
    </row>
    <row r="6" spans="1:10" ht="23.25" customHeight="1">
      <c r="A6" s="411"/>
      <c r="B6" s="411"/>
      <c r="C6" s="411"/>
      <c r="D6" s="546" t="s">
        <v>594</v>
      </c>
      <c r="E6" s="547">
        <f>+E7+E33-E71</f>
        <v>131773626617</v>
      </c>
      <c r="F6" s="546"/>
      <c r="G6" s="546"/>
      <c r="H6" s="546"/>
      <c r="I6" s="547">
        <f>+I7+I33-I71</f>
        <v>119830063365</v>
      </c>
      <c r="J6" s="547">
        <f t="shared" ref="J6:J13" si="0">+E6-I6</f>
        <v>11943563252</v>
      </c>
    </row>
    <row r="7" spans="1:10" ht="23.25" customHeight="1">
      <c r="A7" s="548"/>
      <c r="B7" s="548">
        <v>2388</v>
      </c>
      <c r="C7" s="549">
        <v>44905</v>
      </c>
      <c r="D7" s="548" t="s">
        <v>777</v>
      </c>
      <c r="E7" s="550">
        <f>SUM(E8:E12)+E22+E23</f>
        <v>106463000000</v>
      </c>
      <c r="F7" s="551"/>
      <c r="G7" s="551"/>
      <c r="H7" s="552"/>
      <c r="I7" s="550">
        <f>SUM(I8:I12)+I22+I23</f>
        <v>94731000000</v>
      </c>
      <c r="J7" s="547">
        <f t="shared" si="0"/>
        <v>11732000000</v>
      </c>
    </row>
    <row r="8" spans="1:10" ht="23.25" customHeight="1">
      <c r="A8" s="719">
        <v>1</v>
      </c>
      <c r="B8" s="720"/>
      <c r="C8" s="721"/>
      <c r="D8" s="722" t="s">
        <v>514</v>
      </c>
      <c r="E8" s="723">
        <v>140000000</v>
      </c>
      <c r="F8" s="392">
        <v>4388</v>
      </c>
      <c r="G8" s="724">
        <v>45281</v>
      </c>
      <c r="H8" s="722" t="s">
        <v>514</v>
      </c>
      <c r="I8" s="725">
        <v>140000000</v>
      </c>
      <c r="J8" s="719">
        <f t="shared" si="0"/>
        <v>0</v>
      </c>
    </row>
    <row r="9" spans="1:10" ht="23.25" customHeight="1">
      <c r="A9" s="553">
        <v>2</v>
      </c>
      <c r="B9" s="554"/>
      <c r="C9" s="555"/>
      <c r="D9" s="381" t="s">
        <v>636</v>
      </c>
      <c r="E9" s="556">
        <v>500000000</v>
      </c>
      <c r="F9" s="73"/>
      <c r="G9" s="557"/>
      <c r="H9" s="381" t="s">
        <v>636</v>
      </c>
      <c r="I9" s="558">
        <v>500000000</v>
      </c>
      <c r="J9" s="553">
        <f t="shared" si="0"/>
        <v>0</v>
      </c>
    </row>
    <row r="10" spans="1:10" ht="23.25" customHeight="1">
      <c r="A10" s="553">
        <v>3</v>
      </c>
      <c r="B10" s="554"/>
      <c r="C10" s="555"/>
      <c r="D10" s="559" t="s">
        <v>778</v>
      </c>
      <c r="E10" s="406">
        <v>140000000</v>
      </c>
      <c r="F10" s="73"/>
      <c r="G10" s="557"/>
      <c r="H10" s="559" t="s">
        <v>778</v>
      </c>
      <c r="I10" s="558">
        <v>140000000</v>
      </c>
      <c r="J10" s="553">
        <f t="shared" si="0"/>
        <v>0</v>
      </c>
    </row>
    <row r="11" spans="1:10" ht="33" customHeight="1">
      <c r="A11" s="553">
        <v>4</v>
      </c>
      <c r="B11" s="554"/>
      <c r="C11" s="555"/>
      <c r="D11" s="559" t="s">
        <v>779</v>
      </c>
      <c r="E11" s="406">
        <v>572000000</v>
      </c>
      <c r="F11" s="73">
        <v>1058</v>
      </c>
      <c r="G11" s="560">
        <v>45023</v>
      </c>
      <c r="H11" s="561" t="s">
        <v>780</v>
      </c>
      <c r="I11" s="558">
        <v>572000000</v>
      </c>
      <c r="J11" s="553">
        <f t="shared" si="0"/>
        <v>0</v>
      </c>
    </row>
    <row r="12" spans="1:10" ht="23.25" customHeight="1">
      <c r="A12" s="562">
        <v>5</v>
      </c>
      <c r="B12" s="554"/>
      <c r="C12" s="555"/>
      <c r="D12" s="559" t="s">
        <v>781</v>
      </c>
      <c r="E12" s="406">
        <f>+E13+E18+E19</f>
        <v>3992000000</v>
      </c>
      <c r="F12" s="73"/>
      <c r="G12" s="557"/>
      <c r="H12" s="563"/>
      <c r="I12" s="406">
        <f>+I13+I18+I19</f>
        <v>3992000000</v>
      </c>
      <c r="J12" s="553">
        <f t="shared" si="0"/>
        <v>0</v>
      </c>
    </row>
    <row r="13" spans="1:10" ht="23.25" customHeight="1">
      <c r="A13" s="562" t="s">
        <v>246</v>
      </c>
      <c r="B13" s="554"/>
      <c r="C13" s="555"/>
      <c r="D13" s="559" t="s">
        <v>782</v>
      </c>
      <c r="E13" s="406">
        <f>+E14+E17</f>
        <v>3489000000</v>
      </c>
      <c r="F13" s="73"/>
      <c r="G13" s="557"/>
      <c r="H13" s="563"/>
      <c r="I13" s="558">
        <v>3489000000</v>
      </c>
      <c r="J13" s="553">
        <f t="shared" si="0"/>
        <v>0</v>
      </c>
    </row>
    <row r="14" spans="1:10" ht="23.25" customHeight="1">
      <c r="A14" s="564" t="s">
        <v>106</v>
      </c>
      <c r="B14" s="565"/>
      <c r="C14" s="566"/>
      <c r="D14" s="567" t="s">
        <v>59</v>
      </c>
      <c r="E14" s="568">
        <v>2297000000</v>
      </c>
      <c r="F14" s="73">
        <v>4388</v>
      </c>
      <c r="G14" s="569">
        <v>45281</v>
      </c>
      <c r="H14" s="570" t="s">
        <v>783</v>
      </c>
      <c r="I14" s="571">
        <v>1921100000</v>
      </c>
      <c r="J14" s="553">
        <f>+E14-I14-I15-I16</f>
        <v>0</v>
      </c>
    </row>
    <row r="15" spans="1:10" ht="23.25" customHeight="1">
      <c r="A15" s="564"/>
      <c r="B15" s="565"/>
      <c r="C15" s="566"/>
      <c r="D15" s="567"/>
      <c r="E15" s="568"/>
      <c r="F15" s="73">
        <v>744</v>
      </c>
      <c r="G15" s="569">
        <v>45005</v>
      </c>
      <c r="H15" s="570" t="s">
        <v>784</v>
      </c>
      <c r="I15" s="571">
        <v>166480000</v>
      </c>
      <c r="J15" s="553"/>
    </row>
    <row r="16" spans="1:10" ht="23.25" customHeight="1">
      <c r="A16" s="564"/>
      <c r="B16" s="565"/>
      <c r="C16" s="566"/>
      <c r="D16" s="567"/>
      <c r="E16" s="568"/>
      <c r="F16" s="73">
        <v>1112</v>
      </c>
      <c r="G16" s="569">
        <v>45030</v>
      </c>
      <c r="H16" s="570" t="s">
        <v>785</v>
      </c>
      <c r="I16" s="571">
        <v>209420000</v>
      </c>
      <c r="J16" s="553"/>
    </row>
    <row r="17" spans="1:10" ht="23.25" customHeight="1">
      <c r="A17" s="564" t="s">
        <v>106</v>
      </c>
      <c r="B17" s="565"/>
      <c r="C17" s="566"/>
      <c r="D17" s="567" t="s">
        <v>786</v>
      </c>
      <c r="E17" s="568">
        <v>1192000000</v>
      </c>
      <c r="F17" s="73">
        <v>4388</v>
      </c>
      <c r="G17" s="569">
        <v>45281</v>
      </c>
      <c r="H17" s="570" t="s">
        <v>787</v>
      </c>
      <c r="I17" s="571">
        <v>1192000000</v>
      </c>
      <c r="J17" s="553">
        <f t="shared" ref="J17:J32" si="1">+E17-I17</f>
        <v>0</v>
      </c>
    </row>
    <row r="18" spans="1:10" ht="23.25" customHeight="1">
      <c r="A18" s="562" t="s">
        <v>144</v>
      </c>
      <c r="B18" s="554"/>
      <c r="C18" s="555"/>
      <c r="D18" s="559" t="s">
        <v>788</v>
      </c>
      <c r="E18" s="406">
        <v>409000000</v>
      </c>
      <c r="F18" s="73">
        <v>4388</v>
      </c>
      <c r="G18" s="569">
        <v>45281</v>
      </c>
      <c r="H18" s="570" t="s">
        <v>789</v>
      </c>
      <c r="I18" s="571">
        <v>409000000</v>
      </c>
      <c r="J18" s="553">
        <f t="shared" si="1"/>
        <v>0</v>
      </c>
    </row>
    <row r="19" spans="1:10" ht="23.25" customHeight="1">
      <c r="A19" s="562" t="s">
        <v>528</v>
      </c>
      <c r="B19" s="554"/>
      <c r="C19" s="555"/>
      <c r="D19" s="559" t="s">
        <v>650</v>
      </c>
      <c r="E19" s="406">
        <v>94000000</v>
      </c>
      <c r="F19" s="73"/>
      <c r="G19" s="557"/>
      <c r="H19" s="563"/>
      <c r="I19" s="558">
        <v>94000000</v>
      </c>
      <c r="J19" s="553">
        <f t="shared" si="1"/>
        <v>0</v>
      </c>
    </row>
    <row r="20" spans="1:10" ht="23.25" customHeight="1">
      <c r="A20" s="572" t="s">
        <v>106</v>
      </c>
      <c r="B20" s="565"/>
      <c r="C20" s="566"/>
      <c r="D20" s="567" t="s">
        <v>59</v>
      </c>
      <c r="E20" s="568">
        <v>54000000</v>
      </c>
      <c r="F20" s="73">
        <v>4388</v>
      </c>
      <c r="G20" s="569">
        <v>45281</v>
      </c>
      <c r="H20" s="570" t="s">
        <v>790</v>
      </c>
      <c r="I20" s="571">
        <v>54000000</v>
      </c>
      <c r="J20" s="553">
        <f t="shared" si="1"/>
        <v>0</v>
      </c>
    </row>
    <row r="21" spans="1:10" ht="23.25" customHeight="1">
      <c r="A21" s="572" t="s">
        <v>106</v>
      </c>
      <c r="B21" s="565"/>
      <c r="C21" s="566"/>
      <c r="D21" s="567" t="s">
        <v>786</v>
      </c>
      <c r="E21" s="568">
        <v>40000000</v>
      </c>
      <c r="F21" s="73">
        <v>4388</v>
      </c>
      <c r="G21" s="569">
        <v>45281</v>
      </c>
      <c r="H21" s="570" t="s">
        <v>791</v>
      </c>
      <c r="I21" s="571">
        <v>40000000</v>
      </c>
      <c r="J21" s="553">
        <f t="shared" si="1"/>
        <v>0</v>
      </c>
    </row>
    <row r="22" spans="1:10" ht="40.5" customHeight="1">
      <c r="A22" s="553">
        <v>6</v>
      </c>
      <c r="B22" s="554"/>
      <c r="C22" s="555"/>
      <c r="D22" s="559" t="s">
        <v>792</v>
      </c>
      <c r="E22" s="406">
        <v>900000000</v>
      </c>
      <c r="F22" s="73">
        <v>1938</v>
      </c>
      <c r="G22" s="560">
        <v>45118</v>
      </c>
      <c r="H22" s="573" t="s">
        <v>793</v>
      </c>
      <c r="I22" s="558">
        <v>900000000</v>
      </c>
      <c r="J22" s="553">
        <f t="shared" si="1"/>
        <v>0</v>
      </c>
    </row>
    <row r="23" spans="1:10" ht="23.25" customHeight="1">
      <c r="A23" s="553">
        <v>7</v>
      </c>
      <c r="B23" s="554"/>
      <c r="C23" s="555"/>
      <c r="D23" s="559" t="s">
        <v>794</v>
      </c>
      <c r="E23" s="406">
        <f>+E24+E29+E30</f>
        <v>100219000000</v>
      </c>
      <c r="F23" s="73"/>
      <c r="G23" s="557"/>
      <c r="H23" s="563"/>
      <c r="I23" s="406">
        <v>88487000000</v>
      </c>
      <c r="J23" s="553">
        <f t="shared" si="1"/>
        <v>11732000000</v>
      </c>
    </row>
    <row r="24" spans="1:10" ht="23.25" customHeight="1">
      <c r="A24" s="553" t="s">
        <v>530</v>
      </c>
      <c r="B24" s="554"/>
      <c r="C24" s="555"/>
      <c r="D24" s="559" t="s">
        <v>782</v>
      </c>
      <c r="E24" s="406">
        <f>SUM(E25:E28)</f>
        <v>84745000000</v>
      </c>
      <c r="F24" s="73"/>
      <c r="G24" s="557"/>
      <c r="H24" s="563"/>
      <c r="I24" s="406">
        <v>73013000000</v>
      </c>
      <c r="J24" s="553">
        <f t="shared" si="1"/>
        <v>11732000000</v>
      </c>
    </row>
    <row r="25" spans="1:10" ht="23.25" customHeight="1">
      <c r="A25" s="572" t="s">
        <v>106</v>
      </c>
      <c r="B25" s="565"/>
      <c r="C25" s="566"/>
      <c r="D25" s="567" t="s">
        <v>59</v>
      </c>
      <c r="E25" s="568">
        <f>40566000000</f>
        <v>40566000000</v>
      </c>
      <c r="F25" s="73">
        <v>4388</v>
      </c>
      <c r="G25" s="569">
        <v>45281</v>
      </c>
      <c r="H25" s="570" t="s">
        <v>787</v>
      </c>
      <c r="I25" s="571">
        <v>33476350000</v>
      </c>
      <c r="J25" s="553"/>
    </row>
    <row r="26" spans="1:10" ht="23.25" customHeight="1">
      <c r="A26" s="572"/>
      <c r="B26" s="565"/>
      <c r="C26" s="566"/>
      <c r="D26" s="567"/>
      <c r="E26" s="568"/>
      <c r="F26" s="73">
        <v>744</v>
      </c>
      <c r="G26" s="569">
        <v>45005</v>
      </c>
      <c r="H26" s="570" t="s">
        <v>784</v>
      </c>
      <c r="I26" s="571">
        <v>2956970000</v>
      </c>
      <c r="J26" s="553"/>
    </row>
    <row r="27" spans="1:10" ht="23.25" customHeight="1">
      <c r="A27" s="572"/>
      <c r="B27" s="565"/>
      <c r="C27" s="566"/>
      <c r="D27" s="567"/>
      <c r="E27" s="568"/>
      <c r="F27" s="73">
        <v>1112</v>
      </c>
      <c r="G27" s="569">
        <v>45030</v>
      </c>
      <c r="H27" s="570" t="s">
        <v>785</v>
      </c>
      <c r="I27" s="571">
        <v>4132680000</v>
      </c>
      <c r="J27" s="553"/>
    </row>
    <row r="28" spans="1:10" ht="23.25" customHeight="1">
      <c r="A28" s="572" t="s">
        <v>106</v>
      </c>
      <c r="B28" s="565"/>
      <c r="C28" s="566"/>
      <c r="D28" s="567" t="s">
        <v>786</v>
      </c>
      <c r="E28" s="568">
        <v>44179000000</v>
      </c>
      <c r="F28" s="73">
        <v>4388</v>
      </c>
      <c r="G28" s="569">
        <v>45281</v>
      </c>
      <c r="H28" s="570" t="s">
        <v>787</v>
      </c>
      <c r="I28" s="571">
        <v>32447000000</v>
      </c>
      <c r="J28" s="553">
        <f t="shared" si="1"/>
        <v>11732000000</v>
      </c>
    </row>
    <row r="29" spans="1:10" ht="23.25" customHeight="1">
      <c r="A29" s="553" t="s">
        <v>795</v>
      </c>
      <c r="B29" s="554"/>
      <c r="C29" s="555"/>
      <c r="D29" s="559" t="s">
        <v>796</v>
      </c>
      <c r="E29" s="406">
        <v>13635000000</v>
      </c>
      <c r="F29" s="73">
        <v>4388</v>
      </c>
      <c r="G29" s="569">
        <v>45281</v>
      </c>
      <c r="H29" s="570" t="s">
        <v>789</v>
      </c>
      <c r="I29" s="571">
        <v>13635000000</v>
      </c>
      <c r="J29" s="553">
        <f t="shared" si="1"/>
        <v>0</v>
      </c>
    </row>
    <row r="30" spans="1:10" ht="23.25" customHeight="1">
      <c r="A30" s="553" t="s">
        <v>797</v>
      </c>
      <c r="B30" s="554"/>
      <c r="C30" s="555"/>
      <c r="D30" s="559" t="s">
        <v>650</v>
      </c>
      <c r="E30" s="406">
        <f>SUM(E31:E32)</f>
        <v>1839000000</v>
      </c>
      <c r="F30" s="73"/>
      <c r="G30" s="557"/>
      <c r="H30" s="563"/>
      <c r="I30" s="406">
        <v>1839000000</v>
      </c>
      <c r="J30" s="553">
        <f t="shared" si="1"/>
        <v>0</v>
      </c>
    </row>
    <row r="31" spans="1:10" ht="23.25" customHeight="1">
      <c r="A31" s="572" t="s">
        <v>106</v>
      </c>
      <c r="B31" s="565"/>
      <c r="C31" s="566"/>
      <c r="D31" s="567" t="s">
        <v>59</v>
      </c>
      <c r="E31" s="568">
        <v>1049000000</v>
      </c>
      <c r="F31" s="73">
        <v>4388</v>
      </c>
      <c r="G31" s="569">
        <v>45281</v>
      </c>
      <c r="H31" s="570" t="s">
        <v>790</v>
      </c>
      <c r="I31" s="571">
        <v>1049000000</v>
      </c>
      <c r="J31" s="553">
        <f t="shared" si="1"/>
        <v>0</v>
      </c>
    </row>
    <row r="32" spans="1:10" ht="23.25" customHeight="1">
      <c r="A32" s="572" t="s">
        <v>106</v>
      </c>
      <c r="B32" s="565"/>
      <c r="C32" s="566"/>
      <c r="D32" s="567" t="s">
        <v>786</v>
      </c>
      <c r="E32" s="568">
        <v>790000000</v>
      </c>
      <c r="F32" s="73">
        <v>4388</v>
      </c>
      <c r="G32" s="569">
        <v>45281</v>
      </c>
      <c r="H32" s="570" t="s">
        <v>791</v>
      </c>
      <c r="I32" s="571">
        <v>790000000</v>
      </c>
      <c r="J32" s="553">
        <f t="shared" si="1"/>
        <v>0</v>
      </c>
    </row>
    <row r="33" spans="1:11" s="39" customFormat="1" ht="23.25" customHeight="1">
      <c r="A33" s="189"/>
      <c r="B33" s="189"/>
      <c r="C33" s="189"/>
      <c r="D33" s="726" t="s">
        <v>798</v>
      </c>
      <c r="E33" s="727">
        <f>+E34+E39+E40+E50+E54+E55+E56+E57+E58+E59+E67+E68+E69+E70</f>
        <v>30071772919</v>
      </c>
      <c r="F33" s="728"/>
      <c r="G33" s="728"/>
      <c r="H33" s="727"/>
      <c r="I33" s="727">
        <f>+I34+I39+I40+I50+I54+I55+I56+I57+I58+I59+I67+I68+I69+I70</f>
        <v>29860209667</v>
      </c>
      <c r="J33" s="727">
        <f>+J34+J39+J40+J50+J54+J55+J56+J57+J58+J59+J67+J68+J69+J70</f>
        <v>211563252</v>
      </c>
      <c r="K33" s="574"/>
    </row>
    <row r="34" spans="1:11" s="33" customFormat="1" ht="56.25" customHeight="1">
      <c r="A34" s="94">
        <v>1</v>
      </c>
      <c r="B34" s="94">
        <v>450</v>
      </c>
      <c r="C34" s="576">
        <v>44642</v>
      </c>
      <c r="D34" s="188" t="s">
        <v>799</v>
      </c>
      <c r="E34" s="606">
        <f>SUM(E35:E37)</f>
        <v>4434420000</v>
      </c>
      <c r="F34" s="396"/>
      <c r="G34" s="396"/>
      <c r="H34" s="584"/>
      <c r="I34" s="729">
        <f>SUM(I35:I38)</f>
        <v>4434420000</v>
      </c>
      <c r="J34" s="578">
        <f>+E34-I34</f>
        <v>0</v>
      </c>
      <c r="K34" s="575"/>
    </row>
    <row r="35" spans="1:11" s="33" customFormat="1" ht="39" customHeight="1">
      <c r="A35" s="94"/>
      <c r="B35" s="94"/>
      <c r="C35" s="576"/>
      <c r="D35" s="188" t="s">
        <v>800</v>
      </c>
      <c r="E35" s="577">
        <v>4125016000</v>
      </c>
      <c r="F35" s="73">
        <v>810</v>
      </c>
      <c r="G35" s="73" t="s">
        <v>801</v>
      </c>
      <c r="H35" s="188" t="s">
        <v>802</v>
      </c>
      <c r="I35" s="578">
        <v>3043916000</v>
      </c>
      <c r="J35" s="578"/>
      <c r="K35" s="379"/>
    </row>
    <row r="36" spans="1:11" s="33" customFormat="1" ht="39" customHeight="1">
      <c r="A36" s="94"/>
      <c r="B36" s="94"/>
      <c r="C36" s="576"/>
      <c r="D36" s="188"/>
      <c r="E36" s="577"/>
      <c r="F36" s="73">
        <v>1970</v>
      </c>
      <c r="G36" s="73" t="s">
        <v>803</v>
      </c>
      <c r="H36" s="188" t="s">
        <v>804</v>
      </c>
      <c r="I36" s="578">
        <v>1081100000</v>
      </c>
      <c r="J36" s="578"/>
    </row>
    <row r="37" spans="1:11" s="33" customFormat="1" ht="39" customHeight="1">
      <c r="A37" s="94"/>
      <c r="B37" s="94"/>
      <c r="C37" s="576"/>
      <c r="D37" s="188" t="s">
        <v>805</v>
      </c>
      <c r="E37" s="577">
        <v>309404000</v>
      </c>
      <c r="F37" s="73">
        <v>810</v>
      </c>
      <c r="G37" s="73" t="s">
        <v>801</v>
      </c>
      <c r="H37" s="188" t="s">
        <v>806</v>
      </c>
      <c r="I37" s="578">
        <v>170699000</v>
      </c>
      <c r="J37" s="578"/>
    </row>
    <row r="38" spans="1:11" s="33" customFormat="1" ht="39" customHeight="1">
      <c r="A38" s="94"/>
      <c r="B38" s="94"/>
      <c r="C38" s="576"/>
      <c r="D38" s="188"/>
      <c r="E38" s="579"/>
      <c r="F38" s="73">
        <v>1970</v>
      </c>
      <c r="G38" s="73" t="s">
        <v>803</v>
      </c>
      <c r="H38" s="188" t="s">
        <v>807</v>
      </c>
      <c r="I38" s="578">
        <v>138705000</v>
      </c>
      <c r="J38" s="578"/>
    </row>
    <row r="39" spans="1:11" s="33" customFormat="1" ht="41.25" customHeight="1">
      <c r="A39" s="94">
        <v>2</v>
      </c>
      <c r="B39" s="94">
        <v>552</v>
      </c>
      <c r="C39" s="576">
        <v>45019</v>
      </c>
      <c r="D39" s="188" t="s">
        <v>808</v>
      </c>
      <c r="E39" s="577">
        <v>37445000</v>
      </c>
      <c r="F39" s="73">
        <v>1050</v>
      </c>
      <c r="G39" s="580" t="s">
        <v>809</v>
      </c>
      <c r="H39" s="104" t="s">
        <v>810</v>
      </c>
      <c r="I39" s="581">
        <f>+E39</f>
        <v>37445000</v>
      </c>
      <c r="J39" s="578"/>
    </row>
    <row r="40" spans="1:11" s="33" customFormat="1" ht="52.5" customHeight="1">
      <c r="A40" s="582">
        <v>3</v>
      </c>
      <c r="B40" s="582">
        <v>773</v>
      </c>
      <c r="C40" s="583">
        <v>45054</v>
      </c>
      <c r="D40" s="188" t="s">
        <v>811</v>
      </c>
      <c r="E40" s="397">
        <f>+E41+E49+E44+E48</f>
        <v>3277591919</v>
      </c>
      <c r="F40" s="396"/>
      <c r="G40" s="396"/>
      <c r="H40" s="584"/>
      <c r="I40" s="397">
        <f>+I41+I49+I44+I48</f>
        <v>3236429667</v>
      </c>
      <c r="J40" s="578">
        <f>+E40-I40</f>
        <v>41162252</v>
      </c>
    </row>
    <row r="41" spans="1:11" s="33" customFormat="1" ht="24" customHeight="1">
      <c r="A41" s="396"/>
      <c r="B41" s="396"/>
      <c r="C41" s="396"/>
      <c r="D41" s="188" t="s">
        <v>812</v>
      </c>
      <c r="E41" s="397">
        <f>SUM(E42:E43)</f>
        <v>2379118667</v>
      </c>
      <c r="F41" s="73"/>
      <c r="G41" s="73"/>
      <c r="H41" s="73"/>
      <c r="I41" s="578">
        <f>SUM(I42:I43)</f>
        <v>2379118667</v>
      </c>
      <c r="J41" s="578">
        <f>+E41-I41</f>
        <v>0</v>
      </c>
    </row>
    <row r="42" spans="1:11" s="33" customFormat="1" ht="24" customHeight="1">
      <c r="A42" s="582"/>
      <c r="B42" s="582"/>
      <c r="C42" s="582"/>
      <c r="D42" s="585" t="s">
        <v>813</v>
      </c>
      <c r="E42" s="586">
        <v>489600000</v>
      </c>
      <c r="F42" s="587">
        <v>1975</v>
      </c>
      <c r="G42" s="588">
        <v>45125</v>
      </c>
      <c r="H42" s="589" t="s">
        <v>814</v>
      </c>
      <c r="I42" s="590">
        <v>489600000</v>
      </c>
      <c r="J42" s="578">
        <f>+E42-I42</f>
        <v>0</v>
      </c>
    </row>
    <row r="43" spans="1:11" s="33" customFormat="1" ht="24" customHeight="1">
      <c r="A43" s="587"/>
      <c r="B43" s="587"/>
      <c r="C43" s="587"/>
      <c r="D43" s="585" t="s">
        <v>815</v>
      </c>
      <c r="E43" s="586">
        <v>1889518667</v>
      </c>
      <c r="F43" s="587">
        <v>1973</v>
      </c>
      <c r="G43" s="588">
        <v>45125</v>
      </c>
      <c r="H43" s="589" t="s">
        <v>816</v>
      </c>
      <c r="I43" s="590">
        <v>1889518667</v>
      </c>
      <c r="J43" s="578">
        <f>+E43-I43</f>
        <v>0</v>
      </c>
    </row>
    <row r="44" spans="1:11" s="33" customFormat="1" ht="24" customHeight="1">
      <c r="A44" s="587"/>
      <c r="B44" s="587"/>
      <c r="C44" s="587"/>
      <c r="D44" s="188" t="s">
        <v>817</v>
      </c>
      <c r="E44" s="397">
        <f>SUM(E45:E47)</f>
        <v>640874000</v>
      </c>
      <c r="F44" s="73"/>
      <c r="G44" s="73"/>
      <c r="H44" s="73"/>
      <c r="I44" s="578">
        <f>SUM(I45:I47)</f>
        <v>630254000</v>
      </c>
      <c r="J44" s="578">
        <f>+E44-I44</f>
        <v>10620000</v>
      </c>
    </row>
    <row r="45" spans="1:11" s="33" customFormat="1" ht="24" customHeight="1">
      <c r="A45" s="582"/>
      <c r="B45" s="582"/>
      <c r="C45" s="582"/>
      <c r="D45" s="585" t="s">
        <v>800</v>
      </c>
      <c r="E45" s="586">
        <v>544911000</v>
      </c>
      <c r="F45" s="2013">
        <v>1971</v>
      </c>
      <c r="G45" s="2014">
        <v>45125</v>
      </c>
      <c r="H45" s="2013" t="s">
        <v>818</v>
      </c>
      <c r="I45" s="590">
        <v>544911000</v>
      </c>
      <c r="J45" s="578"/>
    </row>
    <row r="46" spans="1:11" s="33" customFormat="1" ht="24" customHeight="1">
      <c r="A46" s="587"/>
      <c r="B46" s="587"/>
      <c r="C46" s="587"/>
      <c r="D46" s="585" t="s">
        <v>819</v>
      </c>
      <c r="E46" s="586">
        <v>16343000</v>
      </c>
      <c r="F46" s="2013"/>
      <c r="G46" s="2014"/>
      <c r="H46" s="2013"/>
      <c r="I46" s="590">
        <v>16343000</v>
      </c>
      <c r="J46" s="578"/>
    </row>
    <row r="47" spans="1:11" s="33" customFormat="1" ht="24" customHeight="1">
      <c r="A47" s="587"/>
      <c r="B47" s="587"/>
      <c r="C47" s="587"/>
      <c r="D47" s="585" t="s">
        <v>819</v>
      </c>
      <c r="E47" s="586">
        <v>79620000</v>
      </c>
      <c r="F47" s="2013"/>
      <c r="G47" s="2014"/>
      <c r="H47" s="2013"/>
      <c r="I47" s="590">
        <v>69000000</v>
      </c>
      <c r="J47" s="578">
        <f>+E47-I47</f>
        <v>10620000</v>
      </c>
    </row>
    <row r="48" spans="1:11" s="33" customFormat="1" ht="32.25" customHeight="1">
      <c r="A48" s="587"/>
      <c r="B48" s="587"/>
      <c r="C48" s="587"/>
      <c r="D48" s="188" t="s">
        <v>820</v>
      </c>
      <c r="E48" s="397">
        <v>39000000</v>
      </c>
      <c r="F48" s="582">
        <v>1972</v>
      </c>
      <c r="G48" s="591">
        <v>45125</v>
      </c>
      <c r="H48" s="104" t="s">
        <v>818</v>
      </c>
      <c r="I48" s="581">
        <v>39000000</v>
      </c>
      <c r="J48" s="578"/>
    </row>
    <row r="49" spans="1:10" s="33" customFormat="1" ht="32.25" customHeight="1">
      <c r="A49" s="582"/>
      <c r="B49" s="582"/>
      <c r="C49" s="582"/>
      <c r="D49" s="188" t="s">
        <v>821</v>
      </c>
      <c r="E49" s="397">
        <v>218599252</v>
      </c>
      <c r="F49" s="582">
        <v>1970</v>
      </c>
      <c r="G49" s="580" t="s">
        <v>803</v>
      </c>
      <c r="H49" s="104" t="s">
        <v>822</v>
      </c>
      <c r="I49" s="581">
        <v>188057000</v>
      </c>
      <c r="J49" s="578">
        <f>+E49-I49</f>
        <v>30542252</v>
      </c>
    </row>
    <row r="50" spans="1:10" s="33" customFormat="1" ht="62.25" customHeight="1">
      <c r="A50" s="582">
        <v>4</v>
      </c>
      <c r="B50" s="582">
        <v>1031</v>
      </c>
      <c r="C50" s="583">
        <v>45090</v>
      </c>
      <c r="D50" s="188" t="s">
        <v>823</v>
      </c>
      <c r="E50" s="397">
        <f>SUM(E51:E53)</f>
        <v>821072000</v>
      </c>
      <c r="F50" s="73"/>
      <c r="G50" s="592"/>
      <c r="H50" s="73"/>
      <c r="I50" s="397">
        <f>SUM(I51:I53)</f>
        <v>821072000</v>
      </c>
      <c r="J50" s="578">
        <f>+E50-I50</f>
        <v>0</v>
      </c>
    </row>
    <row r="51" spans="1:10" s="594" customFormat="1" ht="24" customHeight="1">
      <c r="A51" s="587"/>
      <c r="B51" s="587"/>
      <c r="C51" s="587"/>
      <c r="D51" s="585" t="s">
        <v>824</v>
      </c>
      <c r="E51" s="586">
        <v>142420000</v>
      </c>
      <c r="F51" s="587">
        <v>1973</v>
      </c>
      <c r="G51" s="588">
        <v>45125</v>
      </c>
      <c r="H51" s="589" t="s">
        <v>816</v>
      </c>
      <c r="I51" s="593">
        <f t="shared" ref="I51:I58" si="2">+E51</f>
        <v>142420000</v>
      </c>
      <c r="J51" s="593"/>
    </row>
    <row r="52" spans="1:10" s="594" customFormat="1" ht="46.5" customHeight="1">
      <c r="A52" s="587"/>
      <c r="B52" s="587"/>
      <c r="C52" s="587"/>
      <c r="D52" s="585" t="s">
        <v>825</v>
      </c>
      <c r="E52" s="586">
        <v>460700000</v>
      </c>
      <c r="F52" s="595">
        <v>2083</v>
      </c>
      <c r="G52" s="596">
        <v>45139</v>
      </c>
      <c r="H52" s="585" t="s">
        <v>826</v>
      </c>
      <c r="I52" s="593">
        <f t="shared" si="2"/>
        <v>460700000</v>
      </c>
      <c r="J52" s="593"/>
    </row>
    <row r="53" spans="1:10" s="594" customFormat="1" ht="24" customHeight="1">
      <c r="A53" s="587"/>
      <c r="B53" s="587"/>
      <c r="C53" s="587"/>
      <c r="D53" s="585" t="s">
        <v>827</v>
      </c>
      <c r="E53" s="586">
        <v>217952000</v>
      </c>
      <c r="F53" s="587">
        <v>1975</v>
      </c>
      <c r="G53" s="588">
        <v>45125</v>
      </c>
      <c r="H53" s="589" t="s">
        <v>814</v>
      </c>
      <c r="I53" s="590">
        <f t="shared" si="2"/>
        <v>217952000</v>
      </c>
      <c r="J53" s="593"/>
    </row>
    <row r="54" spans="1:10" s="33" customFormat="1" ht="48" customHeight="1">
      <c r="A54" s="73">
        <v>5</v>
      </c>
      <c r="B54" s="73">
        <v>1424</v>
      </c>
      <c r="C54" s="592">
        <v>45146</v>
      </c>
      <c r="D54" s="188" t="s">
        <v>828</v>
      </c>
      <c r="E54" s="397">
        <v>7085749000</v>
      </c>
      <c r="F54" s="73">
        <v>2849</v>
      </c>
      <c r="G54" s="592">
        <v>45191</v>
      </c>
      <c r="H54" s="188" t="s">
        <v>829</v>
      </c>
      <c r="I54" s="578">
        <f t="shared" si="2"/>
        <v>7085749000</v>
      </c>
      <c r="J54" s="578"/>
    </row>
    <row r="55" spans="1:10" s="33" customFormat="1" ht="48" customHeight="1">
      <c r="A55" s="73">
        <v>6</v>
      </c>
      <c r="B55" s="73">
        <v>1596</v>
      </c>
      <c r="C55" s="592">
        <v>45169</v>
      </c>
      <c r="D55" s="188" t="s">
        <v>830</v>
      </c>
      <c r="E55" s="397">
        <v>208800000</v>
      </c>
      <c r="F55" s="73">
        <v>5852</v>
      </c>
      <c r="G55" s="592">
        <v>45282</v>
      </c>
      <c r="H55" s="188" t="s">
        <v>831</v>
      </c>
      <c r="I55" s="578">
        <f t="shared" si="2"/>
        <v>208800000</v>
      </c>
      <c r="J55" s="578">
        <f>+E55-I55</f>
        <v>0</v>
      </c>
    </row>
    <row r="56" spans="1:10" s="33" customFormat="1" ht="45.75" customHeight="1">
      <c r="A56" s="73">
        <v>7</v>
      </c>
      <c r="B56" s="396">
        <v>2003</v>
      </c>
      <c r="C56" s="597">
        <v>45231</v>
      </c>
      <c r="D56" s="188" t="s">
        <v>832</v>
      </c>
      <c r="E56" s="397">
        <v>130030000</v>
      </c>
      <c r="F56" s="73">
        <v>5850</v>
      </c>
      <c r="G56" s="592">
        <v>45282</v>
      </c>
      <c r="H56" s="188" t="s">
        <v>833</v>
      </c>
      <c r="I56" s="578">
        <f t="shared" si="2"/>
        <v>130030000</v>
      </c>
      <c r="J56" s="578"/>
    </row>
    <row r="57" spans="1:10" s="33" customFormat="1" ht="55.5" customHeight="1">
      <c r="A57" s="73">
        <v>8</v>
      </c>
      <c r="B57" s="73">
        <v>2071</v>
      </c>
      <c r="C57" s="592">
        <v>45241</v>
      </c>
      <c r="D57" s="74" t="s">
        <v>834</v>
      </c>
      <c r="E57" s="397">
        <v>619553000</v>
      </c>
      <c r="F57" s="73">
        <v>5675</v>
      </c>
      <c r="G57" s="592">
        <v>45264</v>
      </c>
      <c r="H57" s="188" t="s">
        <v>835</v>
      </c>
      <c r="I57" s="578">
        <f t="shared" si="2"/>
        <v>619553000</v>
      </c>
      <c r="J57" s="578"/>
    </row>
    <row r="58" spans="1:10" s="33" customFormat="1" ht="60.75" customHeight="1">
      <c r="A58" s="73">
        <v>9</v>
      </c>
      <c r="B58" s="73">
        <v>2005</v>
      </c>
      <c r="C58" s="592">
        <v>45232</v>
      </c>
      <c r="D58" s="188" t="s">
        <v>836</v>
      </c>
      <c r="E58" s="397">
        <v>29000000</v>
      </c>
      <c r="F58" s="73">
        <v>5850</v>
      </c>
      <c r="G58" s="592">
        <v>45282</v>
      </c>
      <c r="H58" s="188" t="s">
        <v>833</v>
      </c>
      <c r="I58" s="578">
        <f t="shared" si="2"/>
        <v>29000000</v>
      </c>
      <c r="J58" s="579"/>
    </row>
    <row r="59" spans="1:10" s="33" customFormat="1" ht="42.75" customHeight="1">
      <c r="A59" s="73">
        <v>10</v>
      </c>
      <c r="B59" s="396">
        <v>2343</v>
      </c>
      <c r="C59" s="597">
        <v>45272</v>
      </c>
      <c r="D59" s="188" t="s">
        <v>837</v>
      </c>
      <c r="E59" s="397">
        <f>SUM(E60:E66)</f>
        <v>10754104000</v>
      </c>
      <c r="F59" s="396"/>
      <c r="G59" s="396"/>
      <c r="H59" s="584"/>
      <c r="I59" s="397">
        <f>SUM(I60:I66)</f>
        <v>10629333000</v>
      </c>
      <c r="J59" s="397">
        <f>SUM(J60:J66)</f>
        <v>124771000</v>
      </c>
    </row>
    <row r="60" spans="1:10" s="594" customFormat="1" ht="41.25" customHeight="1">
      <c r="A60" s="598"/>
      <c r="B60" s="598"/>
      <c r="C60" s="598"/>
      <c r="D60" s="599" t="s">
        <v>838</v>
      </c>
      <c r="E60" s="586">
        <v>17370000</v>
      </c>
      <c r="F60" s="73">
        <v>5850</v>
      </c>
      <c r="G60" s="592">
        <v>45282</v>
      </c>
      <c r="H60" s="188" t="s">
        <v>833</v>
      </c>
      <c r="I60" s="578">
        <f>+E60</f>
        <v>17370000</v>
      </c>
      <c r="J60" s="600"/>
    </row>
    <row r="61" spans="1:10" s="594" customFormat="1" ht="51" customHeight="1">
      <c r="A61" s="598"/>
      <c r="B61" s="598"/>
      <c r="C61" s="598"/>
      <c r="D61" s="599" t="s">
        <v>509</v>
      </c>
      <c r="E61" s="586">
        <v>8010000000</v>
      </c>
      <c r="F61" s="598">
        <v>5794</v>
      </c>
      <c r="G61" s="601">
        <v>45278</v>
      </c>
      <c r="H61" s="585" t="s">
        <v>839</v>
      </c>
      <c r="I61" s="602">
        <v>7885229000</v>
      </c>
      <c r="J61" s="603">
        <f>+E61-I61</f>
        <v>124771000</v>
      </c>
    </row>
    <row r="62" spans="1:10" s="594" customFormat="1" ht="35.25" customHeight="1">
      <c r="A62" s="598"/>
      <c r="B62" s="598"/>
      <c r="C62" s="598"/>
      <c r="D62" s="585" t="s">
        <v>840</v>
      </c>
      <c r="E62" s="586">
        <v>587911000</v>
      </c>
      <c r="F62" s="598"/>
      <c r="G62" s="598"/>
      <c r="H62" s="599"/>
      <c r="I62" s="604">
        <f t="shared" ref="I62:I69" si="3">+E62</f>
        <v>587911000</v>
      </c>
      <c r="J62" s="603">
        <f>+E62-I62</f>
        <v>0</v>
      </c>
    </row>
    <row r="63" spans="1:10" s="594" customFormat="1" ht="35.25" customHeight="1">
      <c r="A63" s="598"/>
      <c r="B63" s="598"/>
      <c r="C63" s="598"/>
      <c r="D63" s="585" t="s">
        <v>841</v>
      </c>
      <c r="E63" s="586">
        <v>495463000</v>
      </c>
      <c r="F63" s="2003">
        <v>5794</v>
      </c>
      <c r="G63" s="2004">
        <v>45278</v>
      </c>
      <c r="H63" s="2006" t="s">
        <v>839</v>
      </c>
      <c r="I63" s="604">
        <f t="shared" si="3"/>
        <v>495463000</v>
      </c>
      <c r="J63" s="603">
        <f>+E63-I63</f>
        <v>0</v>
      </c>
    </row>
    <row r="64" spans="1:10" s="594" customFormat="1" ht="53.25" customHeight="1">
      <c r="A64" s="598"/>
      <c r="B64" s="598"/>
      <c r="C64" s="598"/>
      <c r="D64" s="585" t="s">
        <v>842</v>
      </c>
      <c r="E64" s="586">
        <v>50381000</v>
      </c>
      <c r="F64" s="2003"/>
      <c r="G64" s="2005"/>
      <c r="H64" s="2007"/>
      <c r="I64" s="604">
        <f t="shared" si="3"/>
        <v>50381000</v>
      </c>
      <c r="J64" s="605"/>
    </row>
    <row r="65" spans="1:11" s="594" customFormat="1" ht="35.25" customHeight="1">
      <c r="A65" s="598"/>
      <c r="B65" s="598"/>
      <c r="C65" s="598"/>
      <c r="D65" s="585" t="s">
        <v>843</v>
      </c>
      <c r="E65" s="586">
        <v>936252000</v>
      </c>
      <c r="F65" s="2003"/>
      <c r="G65" s="2005"/>
      <c r="H65" s="2007"/>
      <c r="I65" s="604">
        <f t="shared" si="3"/>
        <v>936252000</v>
      </c>
      <c r="J65" s="605"/>
    </row>
    <row r="66" spans="1:11" s="594" customFormat="1" ht="24" customHeight="1">
      <c r="A66" s="598"/>
      <c r="B66" s="598"/>
      <c r="C66" s="598"/>
      <c r="D66" s="599" t="s">
        <v>844</v>
      </c>
      <c r="E66" s="586">
        <v>656727000</v>
      </c>
      <c r="F66" s="2003"/>
      <c r="G66" s="2005"/>
      <c r="H66" s="2007"/>
      <c r="I66" s="604">
        <f t="shared" si="3"/>
        <v>656727000</v>
      </c>
      <c r="J66" s="605"/>
    </row>
    <row r="67" spans="1:11" s="33" customFormat="1" ht="48.75" customHeight="1">
      <c r="A67" s="396">
        <v>11</v>
      </c>
      <c r="B67" s="396">
        <v>2012</v>
      </c>
      <c r="C67" s="597">
        <v>45233</v>
      </c>
      <c r="D67" s="188" t="s">
        <v>845</v>
      </c>
      <c r="E67" s="397">
        <v>32000000</v>
      </c>
      <c r="F67" s="396">
        <v>5469</v>
      </c>
      <c r="G67" s="597">
        <v>45245</v>
      </c>
      <c r="H67" s="584"/>
      <c r="I67" s="606">
        <f t="shared" si="3"/>
        <v>32000000</v>
      </c>
      <c r="J67" s="579"/>
    </row>
    <row r="68" spans="1:11" s="33" customFormat="1" ht="58.5" customHeight="1">
      <c r="A68" s="396">
        <v>12</v>
      </c>
      <c r="B68" s="396">
        <v>2432</v>
      </c>
      <c r="C68" s="597">
        <v>45284</v>
      </c>
      <c r="D68" s="188" t="s">
        <v>846</v>
      </c>
      <c r="E68" s="397">
        <v>15000000</v>
      </c>
      <c r="F68" s="396">
        <v>5960</v>
      </c>
      <c r="G68" s="597">
        <v>45288</v>
      </c>
      <c r="H68" s="74" t="s">
        <v>847</v>
      </c>
      <c r="I68" s="606">
        <f t="shared" si="3"/>
        <v>15000000</v>
      </c>
      <c r="J68" s="579"/>
    </row>
    <row r="69" spans="1:11" s="33" customFormat="1" ht="48" customHeight="1">
      <c r="A69" s="396">
        <v>13</v>
      </c>
      <c r="B69" s="396">
        <v>2495</v>
      </c>
      <c r="C69" s="597">
        <v>45288</v>
      </c>
      <c r="D69" s="188" t="s">
        <v>848</v>
      </c>
      <c r="E69" s="397">
        <v>145931000</v>
      </c>
      <c r="F69" s="396">
        <v>5988</v>
      </c>
      <c r="G69" s="597">
        <v>45289</v>
      </c>
      <c r="H69" s="74" t="s">
        <v>849</v>
      </c>
      <c r="I69" s="606">
        <f t="shared" si="3"/>
        <v>145931000</v>
      </c>
      <c r="J69" s="579"/>
    </row>
    <row r="70" spans="1:11" s="33" customFormat="1" ht="40.5" customHeight="1">
      <c r="A70" s="396">
        <v>14</v>
      </c>
      <c r="B70" s="396">
        <v>2501</v>
      </c>
      <c r="C70" s="597">
        <v>45288</v>
      </c>
      <c r="D70" s="188" t="s">
        <v>850</v>
      </c>
      <c r="E70" s="397">
        <v>2481077000</v>
      </c>
      <c r="F70" s="396">
        <v>6078</v>
      </c>
      <c r="G70" s="597">
        <v>45291</v>
      </c>
      <c r="H70" s="584" t="s">
        <v>851</v>
      </c>
      <c r="I70" s="607">
        <v>2435447000</v>
      </c>
      <c r="J70" s="608">
        <f>+E70-I70</f>
        <v>45630000</v>
      </c>
      <c r="K70" s="609"/>
    </row>
    <row r="71" spans="1:11" s="39" customFormat="1" ht="20.25" customHeight="1">
      <c r="A71" s="395"/>
      <c r="B71" s="395"/>
      <c r="C71" s="395"/>
      <c r="D71" s="610" t="s">
        <v>852</v>
      </c>
      <c r="E71" s="611">
        <f>+E72+E79+E82</f>
        <v>4761146302</v>
      </c>
      <c r="F71" s="395"/>
      <c r="G71" s="395"/>
      <c r="H71" s="610"/>
      <c r="I71" s="611">
        <f>+I72+I79+I82</f>
        <v>4761146302</v>
      </c>
      <c r="J71" s="611">
        <f>+E71-I71</f>
        <v>0</v>
      </c>
    </row>
    <row r="72" spans="1:11" s="33" customFormat="1" ht="60" customHeight="1">
      <c r="A72" s="396"/>
      <c r="B72" s="396">
        <v>2499</v>
      </c>
      <c r="C72" s="597">
        <v>45288</v>
      </c>
      <c r="D72" s="188" t="s">
        <v>853</v>
      </c>
      <c r="E72" s="608">
        <f t="shared" ref="E72:J72" si="4">SUM(E73:E78)</f>
        <v>3804943897</v>
      </c>
      <c r="F72" s="608">
        <f t="shared" si="4"/>
        <v>0</v>
      </c>
      <c r="G72" s="608">
        <f t="shared" si="4"/>
        <v>0</v>
      </c>
      <c r="H72" s="608">
        <f t="shared" si="4"/>
        <v>0</v>
      </c>
      <c r="I72" s="608">
        <f t="shared" si="4"/>
        <v>3804943897</v>
      </c>
      <c r="J72" s="608">
        <f t="shared" si="4"/>
        <v>0</v>
      </c>
    </row>
    <row r="73" spans="1:11" s="594" customFormat="1" ht="19.5" customHeight="1">
      <c r="A73" s="598"/>
      <c r="B73" s="598"/>
      <c r="C73" s="601"/>
      <c r="D73" s="612" t="s">
        <v>636</v>
      </c>
      <c r="E73" s="603">
        <v>1187000</v>
      </c>
      <c r="F73" s="598"/>
      <c r="G73" s="598"/>
      <c r="H73" s="612" t="s">
        <v>854</v>
      </c>
      <c r="I73" s="603">
        <f t="shared" ref="I73:I79" si="5">+E73</f>
        <v>1187000</v>
      </c>
      <c r="J73" s="605"/>
    </row>
    <row r="74" spans="1:11" s="594" customFormat="1" ht="44.25" customHeight="1">
      <c r="A74" s="598"/>
      <c r="B74" s="598"/>
      <c r="C74" s="598"/>
      <c r="D74" s="585" t="s">
        <v>855</v>
      </c>
      <c r="E74" s="602">
        <v>587911000</v>
      </c>
      <c r="F74" s="598"/>
      <c r="G74" s="598"/>
      <c r="H74" s="585" t="s">
        <v>856</v>
      </c>
      <c r="I74" s="603">
        <f t="shared" si="5"/>
        <v>587911000</v>
      </c>
      <c r="J74" s="605"/>
    </row>
    <row r="75" spans="1:11" s="594" customFormat="1" ht="38.25" customHeight="1">
      <c r="A75" s="598"/>
      <c r="B75" s="598"/>
      <c r="C75" s="598"/>
      <c r="D75" s="585" t="s">
        <v>857</v>
      </c>
      <c r="E75" s="602">
        <v>99543002</v>
      </c>
      <c r="F75" s="598"/>
      <c r="G75" s="598"/>
      <c r="H75" s="585" t="s">
        <v>857</v>
      </c>
      <c r="I75" s="603">
        <f t="shared" si="5"/>
        <v>99543002</v>
      </c>
      <c r="J75" s="605"/>
    </row>
    <row r="76" spans="1:11" s="594" customFormat="1" ht="27" customHeight="1">
      <c r="A76" s="598"/>
      <c r="B76" s="598"/>
      <c r="C76" s="598"/>
      <c r="D76" s="613" t="s">
        <v>858</v>
      </c>
      <c r="E76" s="602">
        <v>7420000</v>
      </c>
      <c r="F76" s="598"/>
      <c r="G76" s="598"/>
      <c r="H76" s="613" t="s">
        <v>859</v>
      </c>
      <c r="I76" s="603">
        <f t="shared" si="5"/>
        <v>7420000</v>
      </c>
      <c r="J76" s="605"/>
    </row>
    <row r="77" spans="1:11" s="594" customFormat="1" ht="27" customHeight="1">
      <c r="A77" s="598"/>
      <c r="B77" s="598"/>
      <c r="C77" s="598"/>
      <c r="D77" s="613" t="s">
        <v>860</v>
      </c>
      <c r="E77" s="602">
        <v>2979282895</v>
      </c>
      <c r="F77" s="598"/>
      <c r="G77" s="598"/>
      <c r="H77" s="613" t="s">
        <v>861</v>
      </c>
      <c r="I77" s="603">
        <f t="shared" si="5"/>
        <v>2979282895</v>
      </c>
      <c r="J77" s="605"/>
    </row>
    <row r="78" spans="1:11" s="594" customFormat="1" ht="54" customHeight="1">
      <c r="A78" s="598"/>
      <c r="B78" s="598"/>
      <c r="C78" s="598"/>
      <c r="D78" s="614" t="s">
        <v>862</v>
      </c>
      <c r="E78" s="602">
        <v>129600000</v>
      </c>
      <c r="F78" s="598"/>
      <c r="G78" s="598"/>
      <c r="H78" s="614" t="s">
        <v>863</v>
      </c>
      <c r="I78" s="603">
        <f t="shared" si="5"/>
        <v>129600000</v>
      </c>
      <c r="J78" s="605"/>
    </row>
    <row r="79" spans="1:11" s="33" customFormat="1" ht="53.25" customHeight="1">
      <c r="A79" s="396"/>
      <c r="B79" s="396">
        <v>2577</v>
      </c>
      <c r="C79" s="597">
        <v>45268</v>
      </c>
      <c r="D79" s="615" t="s">
        <v>864</v>
      </c>
      <c r="E79" s="607">
        <f>SUM(E80:E81)</f>
        <v>162758605</v>
      </c>
      <c r="F79" s="396"/>
      <c r="G79" s="396"/>
      <c r="H79" s="584"/>
      <c r="I79" s="608">
        <f t="shared" si="5"/>
        <v>162758605</v>
      </c>
      <c r="J79" s="579"/>
    </row>
    <row r="80" spans="1:11" s="33" customFormat="1" ht="27.75" customHeight="1">
      <c r="A80" s="396"/>
      <c r="B80" s="396"/>
      <c r="C80" s="396"/>
      <c r="D80" s="613" t="s">
        <v>858</v>
      </c>
      <c r="E80" s="602">
        <v>6212500</v>
      </c>
      <c r="F80" s="396"/>
      <c r="G80" s="396"/>
      <c r="H80" s="613" t="s">
        <v>859</v>
      </c>
      <c r="I80" s="602">
        <v>6212500</v>
      </c>
      <c r="J80" s="579"/>
    </row>
    <row r="81" spans="1:12" s="33" customFormat="1" ht="27.75" customHeight="1">
      <c r="A81" s="396"/>
      <c r="B81" s="396"/>
      <c r="C81" s="396"/>
      <c r="D81" s="613" t="s">
        <v>860</v>
      </c>
      <c r="E81" s="602">
        <v>156546105</v>
      </c>
      <c r="F81" s="396"/>
      <c r="G81" s="396"/>
      <c r="H81" s="613" t="s">
        <v>865</v>
      </c>
      <c r="I81" s="602">
        <v>156546105</v>
      </c>
      <c r="J81" s="579"/>
    </row>
    <row r="82" spans="1:12" s="33" customFormat="1" ht="74.25" customHeight="1">
      <c r="A82" s="396"/>
      <c r="B82" s="396" t="s">
        <v>866</v>
      </c>
      <c r="C82" s="396"/>
      <c r="D82" s="615" t="s">
        <v>867</v>
      </c>
      <c r="E82" s="607">
        <f>SUM(E83:E84)</f>
        <v>793443800</v>
      </c>
      <c r="F82" s="396"/>
      <c r="G82" s="396"/>
      <c r="H82" s="188" t="s">
        <v>76</v>
      </c>
      <c r="I82" s="608">
        <f>+E82</f>
        <v>793443800</v>
      </c>
      <c r="J82" s="579"/>
    </row>
    <row r="83" spans="1:12" s="33" customFormat="1" ht="48.75" customHeight="1">
      <c r="A83" s="396"/>
      <c r="B83" s="396"/>
      <c r="C83" s="396"/>
      <c r="D83" s="188" t="s">
        <v>868</v>
      </c>
      <c r="E83" s="607">
        <v>793242800</v>
      </c>
      <c r="F83" s="396"/>
      <c r="G83" s="396"/>
      <c r="H83" s="188" t="s">
        <v>869</v>
      </c>
      <c r="I83" s="608">
        <f>+E83</f>
        <v>793242800</v>
      </c>
      <c r="J83" s="579"/>
    </row>
    <row r="84" spans="1:12" s="33" customFormat="1" ht="42.75" customHeight="1">
      <c r="A84" s="616"/>
      <c r="B84" s="616"/>
      <c r="C84" s="616"/>
      <c r="D84" s="390" t="s">
        <v>870</v>
      </c>
      <c r="E84" s="617">
        <v>201000</v>
      </c>
      <c r="F84" s="616"/>
      <c r="G84" s="616"/>
      <c r="H84" s="390" t="s">
        <v>871</v>
      </c>
      <c r="I84" s="618">
        <f>+E84</f>
        <v>201000</v>
      </c>
      <c r="J84" s="619"/>
    </row>
    <row r="85" spans="1:12">
      <c r="E85" s="620"/>
    </row>
    <row r="86" spans="1:12" s="421" customFormat="1" ht="18.75">
      <c r="A86" s="398"/>
      <c r="B86" s="28"/>
      <c r="H86" s="2000" t="s">
        <v>686</v>
      </c>
      <c r="I86" s="2000"/>
      <c r="J86" s="2000"/>
      <c r="K86" s="388"/>
      <c r="L86" s="388"/>
    </row>
    <row r="87" spans="1:12" s="714" customFormat="1" ht="24.75" customHeight="1">
      <c r="A87" s="2001" t="s">
        <v>382</v>
      </c>
      <c r="B87" s="2001"/>
      <c r="C87" s="2001"/>
      <c r="D87" s="2001"/>
      <c r="H87" s="2001" t="s">
        <v>532</v>
      </c>
      <c r="I87" s="2001"/>
      <c r="J87" s="2001"/>
      <c r="K87" s="715"/>
      <c r="L87" s="715"/>
    </row>
    <row r="88" spans="1:12" s="714" customFormat="1" ht="24.75" customHeight="1">
      <c r="A88" s="2002" t="s">
        <v>383</v>
      </c>
      <c r="B88" s="2002"/>
      <c r="C88" s="2002"/>
      <c r="D88" s="2002"/>
      <c r="H88" s="2002" t="s">
        <v>141</v>
      </c>
      <c r="I88" s="2002"/>
      <c r="J88" s="2002"/>
      <c r="K88" s="716"/>
      <c r="L88" s="716"/>
    </row>
    <row r="89" spans="1:12" s="412" customFormat="1" ht="15">
      <c r="A89" s="28"/>
      <c r="B89" s="28"/>
      <c r="H89" s="215"/>
      <c r="I89" s="28"/>
      <c r="J89" s="28"/>
      <c r="K89" s="28"/>
    </row>
    <row r="90" spans="1:12" s="412" customFormat="1" ht="15">
      <c r="A90" s="28"/>
      <c r="B90" s="28"/>
      <c r="H90" s="215"/>
      <c r="I90" s="28"/>
      <c r="J90" s="28"/>
      <c r="K90" s="28"/>
    </row>
    <row r="91" spans="1:12" s="412" customFormat="1" ht="15">
      <c r="A91" s="28"/>
      <c r="B91" s="28"/>
      <c r="H91" s="215"/>
      <c r="I91" s="28"/>
      <c r="J91" s="28"/>
      <c r="K91" s="28"/>
    </row>
    <row r="92" spans="1:12" s="412" customFormat="1" ht="30" customHeight="1">
      <c r="A92" s="28"/>
      <c r="B92" s="28"/>
      <c r="H92" s="215"/>
      <c r="I92" s="28"/>
      <c r="J92" s="28"/>
      <c r="K92" s="28"/>
    </row>
    <row r="93" spans="1:12" s="412" customFormat="1" ht="15">
      <c r="A93" s="28"/>
      <c r="B93" s="28"/>
      <c r="H93" s="215"/>
      <c r="I93" s="28"/>
      <c r="J93" s="28"/>
      <c r="K93" s="28"/>
    </row>
    <row r="94" spans="1:12" s="412" customFormat="1" ht="15">
      <c r="A94" s="28"/>
      <c r="B94" s="28"/>
      <c r="H94" s="215"/>
      <c r="I94" s="28"/>
      <c r="J94" s="28"/>
      <c r="K94" s="28"/>
    </row>
    <row r="95" spans="1:12" s="717" customFormat="1" ht="26.25">
      <c r="A95" s="1997" t="s">
        <v>488</v>
      </c>
      <c r="B95" s="1997"/>
      <c r="C95" s="1997"/>
      <c r="D95" s="1997"/>
      <c r="H95" s="1997" t="s">
        <v>513</v>
      </c>
      <c r="I95" s="1997"/>
      <c r="J95" s="1997"/>
      <c r="K95" s="718"/>
      <c r="L95" s="718"/>
    </row>
    <row r="96" spans="1:12" s="412" customFormat="1">
      <c r="H96" s="487"/>
    </row>
  </sheetData>
  <mergeCells count="19">
    <mergeCell ref="A2:J2"/>
    <mergeCell ref="A4:E4"/>
    <mergeCell ref="F4:I4"/>
    <mergeCell ref="J4:J5"/>
    <mergeCell ref="F45:F47"/>
    <mergeCell ref="G45:G47"/>
    <mergeCell ref="H45:H47"/>
    <mergeCell ref="A95:D95"/>
    <mergeCell ref="F5:G5"/>
    <mergeCell ref="B5:C5"/>
    <mergeCell ref="H86:J86"/>
    <mergeCell ref="H87:J87"/>
    <mergeCell ref="H88:J88"/>
    <mergeCell ref="H95:J95"/>
    <mergeCell ref="A87:D87"/>
    <mergeCell ref="A88:D88"/>
    <mergeCell ref="F63:F66"/>
    <mergeCell ref="G63:G66"/>
    <mergeCell ref="H63:H66"/>
  </mergeCells>
  <pageMargins left="0.24" right="0.18" top="0.75" bottom="0.75" header="0.3" footer="0.3"/>
  <pageSetup paperSize="8" scale="90" orientation="landscape"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4"/>
  <dimension ref="A1:Q75"/>
  <sheetViews>
    <sheetView topLeftCell="A46" workbookViewId="0">
      <selection activeCell="D15" sqref="D15"/>
    </sheetView>
  </sheetViews>
  <sheetFormatPr defaultRowHeight="12.75"/>
  <cols>
    <col min="1" max="1" width="6.42578125" style="412" customWidth="1"/>
    <col min="2" max="2" width="52.28515625" style="412" customWidth="1"/>
    <col min="3" max="3" width="23.7109375" style="412" customWidth="1"/>
    <col min="4" max="4" width="24.5703125" style="412" customWidth="1"/>
    <col min="5" max="5" width="18.28515625" style="412" customWidth="1"/>
    <col min="6" max="6" width="18" style="412" customWidth="1"/>
    <col min="7" max="7" width="15" style="412" bestFit="1" customWidth="1"/>
    <col min="8" max="8" width="16.7109375" style="412" customWidth="1"/>
    <col min="9" max="9" width="12.28515625" style="412" customWidth="1"/>
    <col min="10" max="10" width="11.28515625" style="412" customWidth="1"/>
    <col min="11" max="11" width="8.7109375" style="412" customWidth="1"/>
    <col min="12" max="12" width="10.7109375" style="412" customWidth="1"/>
    <col min="13" max="13" width="13" style="412" customWidth="1"/>
    <col min="14" max="256" width="9.28515625" style="412"/>
    <col min="257" max="257" width="6.42578125" style="412" customWidth="1"/>
    <col min="258" max="258" width="52.28515625" style="412" customWidth="1"/>
    <col min="259" max="259" width="23.7109375" style="412" customWidth="1"/>
    <col min="260" max="260" width="24.5703125" style="412" customWidth="1"/>
    <col min="261" max="261" width="18.28515625" style="412" customWidth="1"/>
    <col min="262" max="262" width="18" style="412" customWidth="1"/>
    <col min="263" max="263" width="15" style="412" bestFit="1" customWidth="1"/>
    <col min="264" max="264" width="16.7109375" style="412" customWidth="1"/>
    <col min="265" max="265" width="12.28515625" style="412" customWidth="1"/>
    <col min="266" max="266" width="11.28515625" style="412" customWidth="1"/>
    <col min="267" max="267" width="8.7109375" style="412" customWidth="1"/>
    <col min="268" max="268" width="10.7109375" style="412" customWidth="1"/>
    <col min="269" max="269" width="13" style="412" customWidth="1"/>
    <col min="270" max="512" width="9.28515625" style="412"/>
    <col min="513" max="513" width="6.42578125" style="412" customWidth="1"/>
    <col min="514" max="514" width="52.28515625" style="412" customWidth="1"/>
    <col min="515" max="515" width="23.7109375" style="412" customWidth="1"/>
    <col min="516" max="516" width="24.5703125" style="412" customWidth="1"/>
    <col min="517" max="517" width="18.28515625" style="412" customWidth="1"/>
    <col min="518" max="518" width="18" style="412" customWidth="1"/>
    <col min="519" max="519" width="15" style="412" bestFit="1" customWidth="1"/>
    <col min="520" max="520" width="16.7109375" style="412" customWidth="1"/>
    <col min="521" max="521" width="12.28515625" style="412" customWidth="1"/>
    <col min="522" max="522" width="11.28515625" style="412" customWidth="1"/>
    <col min="523" max="523" width="8.7109375" style="412" customWidth="1"/>
    <col min="524" max="524" width="10.7109375" style="412" customWidth="1"/>
    <col min="525" max="525" width="13" style="412" customWidth="1"/>
    <col min="526" max="768" width="9.28515625" style="412"/>
    <col min="769" max="769" width="6.42578125" style="412" customWidth="1"/>
    <col min="770" max="770" width="52.28515625" style="412" customWidth="1"/>
    <col min="771" max="771" width="23.7109375" style="412" customWidth="1"/>
    <col min="772" max="772" width="24.5703125" style="412" customWidth="1"/>
    <col min="773" max="773" width="18.28515625" style="412" customWidth="1"/>
    <col min="774" max="774" width="18" style="412" customWidth="1"/>
    <col min="775" max="775" width="15" style="412" bestFit="1" customWidth="1"/>
    <col min="776" max="776" width="16.7109375" style="412" customWidth="1"/>
    <col min="777" max="777" width="12.28515625" style="412" customWidth="1"/>
    <col min="778" max="778" width="11.28515625" style="412" customWidth="1"/>
    <col min="779" max="779" width="8.7109375" style="412" customWidth="1"/>
    <col min="780" max="780" width="10.7109375" style="412" customWidth="1"/>
    <col min="781" max="781" width="13" style="412" customWidth="1"/>
    <col min="782" max="1024" width="9.28515625" style="412"/>
    <col min="1025" max="1025" width="6.42578125" style="412" customWidth="1"/>
    <col min="1026" max="1026" width="52.28515625" style="412" customWidth="1"/>
    <col min="1027" max="1027" width="23.7109375" style="412" customWidth="1"/>
    <col min="1028" max="1028" width="24.5703125" style="412" customWidth="1"/>
    <col min="1029" max="1029" width="18.28515625" style="412" customWidth="1"/>
    <col min="1030" max="1030" width="18" style="412" customWidth="1"/>
    <col min="1031" max="1031" width="15" style="412" bestFit="1" customWidth="1"/>
    <col min="1032" max="1032" width="16.7109375" style="412" customWidth="1"/>
    <col min="1033" max="1033" width="12.28515625" style="412" customWidth="1"/>
    <col min="1034" max="1034" width="11.28515625" style="412" customWidth="1"/>
    <col min="1035" max="1035" width="8.7109375" style="412" customWidth="1"/>
    <col min="1036" max="1036" width="10.7109375" style="412" customWidth="1"/>
    <col min="1037" max="1037" width="13" style="412" customWidth="1"/>
    <col min="1038" max="1280" width="9.28515625" style="412"/>
    <col min="1281" max="1281" width="6.42578125" style="412" customWidth="1"/>
    <col min="1282" max="1282" width="52.28515625" style="412" customWidth="1"/>
    <col min="1283" max="1283" width="23.7109375" style="412" customWidth="1"/>
    <col min="1284" max="1284" width="24.5703125" style="412" customWidth="1"/>
    <col min="1285" max="1285" width="18.28515625" style="412" customWidth="1"/>
    <col min="1286" max="1286" width="18" style="412" customWidth="1"/>
    <col min="1287" max="1287" width="15" style="412" bestFit="1" customWidth="1"/>
    <col min="1288" max="1288" width="16.7109375" style="412" customWidth="1"/>
    <col min="1289" max="1289" width="12.28515625" style="412" customWidth="1"/>
    <col min="1290" max="1290" width="11.28515625" style="412" customWidth="1"/>
    <col min="1291" max="1291" width="8.7109375" style="412" customWidth="1"/>
    <col min="1292" max="1292" width="10.7109375" style="412" customWidth="1"/>
    <col min="1293" max="1293" width="13" style="412" customWidth="1"/>
    <col min="1294" max="1536" width="9.28515625" style="412"/>
    <col min="1537" max="1537" width="6.42578125" style="412" customWidth="1"/>
    <col min="1538" max="1538" width="52.28515625" style="412" customWidth="1"/>
    <col min="1539" max="1539" width="23.7109375" style="412" customWidth="1"/>
    <col min="1540" max="1540" width="24.5703125" style="412" customWidth="1"/>
    <col min="1541" max="1541" width="18.28515625" style="412" customWidth="1"/>
    <col min="1542" max="1542" width="18" style="412" customWidth="1"/>
    <col min="1543" max="1543" width="15" style="412" bestFit="1" customWidth="1"/>
    <col min="1544" max="1544" width="16.7109375" style="412" customWidth="1"/>
    <col min="1545" max="1545" width="12.28515625" style="412" customWidth="1"/>
    <col min="1546" max="1546" width="11.28515625" style="412" customWidth="1"/>
    <col min="1547" max="1547" width="8.7109375" style="412" customWidth="1"/>
    <col min="1548" max="1548" width="10.7109375" style="412" customWidth="1"/>
    <col min="1549" max="1549" width="13" style="412" customWidth="1"/>
    <col min="1550" max="1792" width="9.28515625" style="412"/>
    <col min="1793" max="1793" width="6.42578125" style="412" customWidth="1"/>
    <col min="1794" max="1794" width="52.28515625" style="412" customWidth="1"/>
    <col min="1795" max="1795" width="23.7109375" style="412" customWidth="1"/>
    <col min="1796" max="1796" width="24.5703125" style="412" customWidth="1"/>
    <col min="1797" max="1797" width="18.28515625" style="412" customWidth="1"/>
    <col min="1798" max="1798" width="18" style="412" customWidth="1"/>
    <col min="1799" max="1799" width="15" style="412" bestFit="1" customWidth="1"/>
    <col min="1800" max="1800" width="16.7109375" style="412" customWidth="1"/>
    <col min="1801" max="1801" width="12.28515625" style="412" customWidth="1"/>
    <col min="1802" max="1802" width="11.28515625" style="412" customWidth="1"/>
    <col min="1803" max="1803" width="8.7109375" style="412" customWidth="1"/>
    <col min="1804" max="1804" width="10.7109375" style="412" customWidth="1"/>
    <col min="1805" max="1805" width="13" style="412" customWidth="1"/>
    <col min="1806" max="2048" width="9.28515625" style="412"/>
    <col min="2049" max="2049" width="6.42578125" style="412" customWidth="1"/>
    <col min="2050" max="2050" width="52.28515625" style="412" customWidth="1"/>
    <col min="2051" max="2051" width="23.7109375" style="412" customWidth="1"/>
    <col min="2052" max="2052" width="24.5703125" style="412" customWidth="1"/>
    <col min="2053" max="2053" width="18.28515625" style="412" customWidth="1"/>
    <col min="2054" max="2054" width="18" style="412" customWidth="1"/>
    <col min="2055" max="2055" width="15" style="412" bestFit="1" customWidth="1"/>
    <col min="2056" max="2056" width="16.7109375" style="412" customWidth="1"/>
    <col min="2057" max="2057" width="12.28515625" style="412" customWidth="1"/>
    <col min="2058" max="2058" width="11.28515625" style="412" customWidth="1"/>
    <col min="2059" max="2059" width="8.7109375" style="412" customWidth="1"/>
    <col min="2060" max="2060" width="10.7109375" style="412" customWidth="1"/>
    <col min="2061" max="2061" width="13" style="412" customWidth="1"/>
    <col min="2062" max="2304" width="9.28515625" style="412"/>
    <col min="2305" max="2305" width="6.42578125" style="412" customWidth="1"/>
    <col min="2306" max="2306" width="52.28515625" style="412" customWidth="1"/>
    <col min="2307" max="2307" width="23.7109375" style="412" customWidth="1"/>
    <col min="2308" max="2308" width="24.5703125" style="412" customWidth="1"/>
    <col min="2309" max="2309" width="18.28515625" style="412" customWidth="1"/>
    <col min="2310" max="2310" width="18" style="412" customWidth="1"/>
    <col min="2311" max="2311" width="15" style="412" bestFit="1" customWidth="1"/>
    <col min="2312" max="2312" width="16.7109375" style="412" customWidth="1"/>
    <col min="2313" max="2313" width="12.28515625" style="412" customWidth="1"/>
    <col min="2314" max="2314" width="11.28515625" style="412" customWidth="1"/>
    <col min="2315" max="2315" width="8.7109375" style="412" customWidth="1"/>
    <col min="2316" max="2316" width="10.7109375" style="412" customWidth="1"/>
    <col min="2317" max="2317" width="13" style="412" customWidth="1"/>
    <col min="2318" max="2560" width="9.28515625" style="412"/>
    <col min="2561" max="2561" width="6.42578125" style="412" customWidth="1"/>
    <col min="2562" max="2562" width="52.28515625" style="412" customWidth="1"/>
    <col min="2563" max="2563" width="23.7109375" style="412" customWidth="1"/>
    <col min="2564" max="2564" width="24.5703125" style="412" customWidth="1"/>
    <col min="2565" max="2565" width="18.28515625" style="412" customWidth="1"/>
    <col min="2566" max="2566" width="18" style="412" customWidth="1"/>
    <col min="2567" max="2567" width="15" style="412" bestFit="1" customWidth="1"/>
    <col min="2568" max="2568" width="16.7109375" style="412" customWidth="1"/>
    <col min="2569" max="2569" width="12.28515625" style="412" customWidth="1"/>
    <col min="2570" max="2570" width="11.28515625" style="412" customWidth="1"/>
    <col min="2571" max="2571" width="8.7109375" style="412" customWidth="1"/>
    <col min="2572" max="2572" width="10.7109375" style="412" customWidth="1"/>
    <col min="2573" max="2573" width="13" style="412" customWidth="1"/>
    <col min="2574" max="2816" width="9.28515625" style="412"/>
    <col min="2817" max="2817" width="6.42578125" style="412" customWidth="1"/>
    <col min="2818" max="2818" width="52.28515625" style="412" customWidth="1"/>
    <col min="2819" max="2819" width="23.7109375" style="412" customWidth="1"/>
    <col min="2820" max="2820" width="24.5703125" style="412" customWidth="1"/>
    <col min="2821" max="2821" width="18.28515625" style="412" customWidth="1"/>
    <col min="2822" max="2822" width="18" style="412" customWidth="1"/>
    <col min="2823" max="2823" width="15" style="412" bestFit="1" customWidth="1"/>
    <col min="2824" max="2824" width="16.7109375" style="412" customWidth="1"/>
    <col min="2825" max="2825" width="12.28515625" style="412" customWidth="1"/>
    <col min="2826" max="2826" width="11.28515625" style="412" customWidth="1"/>
    <col min="2827" max="2827" width="8.7109375" style="412" customWidth="1"/>
    <col min="2828" max="2828" width="10.7109375" style="412" customWidth="1"/>
    <col min="2829" max="2829" width="13" style="412" customWidth="1"/>
    <col min="2830" max="3072" width="9.28515625" style="412"/>
    <col min="3073" max="3073" width="6.42578125" style="412" customWidth="1"/>
    <col min="3074" max="3074" width="52.28515625" style="412" customWidth="1"/>
    <col min="3075" max="3075" width="23.7109375" style="412" customWidth="1"/>
    <col min="3076" max="3076" width="24.5703125" style="412" customWidth="1"/>
    <col min="3077" max="3077" width="18.28515625" style="412" customWidth="1"/>
    <col min="3078" max="3078" width="18" style="412" customWidth="1"/>
    <col min="3079" max="3079" width="15" style="412" bestFit="1" customWidth="1"/>
    <col min="3080" max="3080" width="16.7109375" style="412" customWidth="1"/>
    <col min="3081" max="3081" width="12.28515625" style="412" customWidth="1"/>
    <col min="3082" max="3082" width="11.28515625" style="412" customWidth="1"/>
    <col min="3083" max="3083" width="8.7109375" style="412" customWidth="1"/>
    <col min="3084" max="3084" width="10.7109375" style="412" customWidth="1"/>
    <col min="3085" max="3085" width="13" style="412" customWidth="1"/>
    <col min="3086" max="3328" width="9.28515625" style="412"/>
    <col min="3329" max="3329" width="6.42578125" style="412" customWidth="1"/>
    <col min="3330" max="3330" width="52.28515625" style="412" customWidth="1"/>
    <col min="3331" max="3331" width="23.7109375" style="412" customWidth="1"/>
    <col min="3332" max="3332" width="24.5703125" style="412" customWidth="1"/>
    <col min="3333" max="3333" width="18.28515625" style="412" customWidth="1"/>
    <col min="3334" max="3334" width="18" style="412" customWidth="1"/>
    <col min="3335" max="3335" width="15" style="412" bestFit="1" customWidth="1"/>
    <col min="3336" max="3336" width="16.7109375" style="412" customWidth="1"/>
    <col min="3337" max="3337" width="12.28515625" style="412" customWidth="1"/>
    <col min="3338" max="3338" width="11.28515625" style="412" customWidth="1"/>
    <col min="3339" max="3339" width="8.7109375" style="412" customWidth="1"/>
    <col min="3340" max="3340" width="10.7109375" style="412" customWidth="1"/>
    <col min="3341" max="3341" width="13" style="412" customWidth="1"/>
    <col min="3342" max="3584" width="9.28515625" style="412"/>
    <col min="3585" max="3585" width="6.42578125" style="412" customWidth="1"/>
    <col min="3586" max="3586" width="52.28515625" style="412" customWidth="1"/>
    <col min="3587" max="3587" width="23.7109375" style="412" customWidth="1"/>
    <col min="3588" max="3588" width="24.5703125" style="412" customWidth="1"/>
    <col min="3589" max="3589" width="18.28515625" style="412" customWidth="1"/>
    <col min="3590" max="3590" width="18" style="412" customWidth="1"/>
    <col min="3591" max="3591" width="15" style="412" bestFit="1" customWidth="1"/>
    <col min="3592" max="3592" width="16.7109375" style="412" customWidth="1"/>
    <col min="3593" max="3593" width="12.28515625" style="412" customWidth="1"/>
    <col min="3594" max="3594" width="11.28515625" style="412" customWidth="1"/>
    <col min="3595" max="3595" width="8.7109375" style="412" customWidth="1"/>
    <col min="3596" max="3596" width="10.7109375" style="412" customWidth="1"/>
    <col min="3597" max="3597" width="13" style="412" customWidth="1"/>
    <col min="3598" max="3840" width="9.28515625" style="412"/>
    <col min="3841" max="3841" width="6.42578125" style="412" customWidth="1"/>
    <col min="3842" max="3842" width="52.28515625" style="412" customWidth="1"/>
    <col min="3843" max="3843" width="23.7109375" style="412" customWidth="1"/>
    <col min="3844" max="3844" width="24.5703125" style="412" customWidth="1"/>
    <col min="3845" max="3845" width="18.28515625" style="412" customWidth="1"/>
    <col min="3846" max="3846" width="18" style="412" customWidth="1"/>
    <col min="3847" max="3847" width="15" style="412" bestFit="1" customWidth="1"/>
    <col min="3848" max="3848" width="16.7109375" style="412" customWidth="1"/>
    <col min="3849" max="3849" width="12.28515625" style="412" customWidth="1"/>
    <col min="3850" max="3850" width="11.28515625" style="412" customWidth="1"/>
    <col min="3851" max="3851" width="8.7109375" style="412" customWidth="1"/>
    <col min="3852" max="3852" width="10.7109375" style="412" customWidth="1"/>
    <col min="3853" max="3853" width="13" style="412" customWidth="1"/>
    <col min="3854" max="4096" width="9.28515625" style="412"/>
    <col min="4097" max="4097" width="6.42578125" style="412" customWidth="1"/>
    <col min="4098" max="4098" width="52.28515625" style="412" customWidth="1"/>
    <col min="4099" max="4099" width="23.7109375" style="412" customWidth="1"/>
    <col min="4100" max="4100" width="24.5703125" style="412" customWidth="1"/>
    <col min="4101" max="4101" width="18.28515625" style="412" customWidth="1"/>
    <col min="4102" max="4102" width="18" style="412" customWidth="1"/>
    <col min="4103" max="4103" width="15" style="412" bestFit="1" customWidth="1"/>
    <col min="4104" max="4104" width="16.7109375" style="412" customWidth="1"/>
    <col min="4105" max="4105" width="12.28515625" style="412" customWidth="1"/>
    <col min="4106" max="4106" width="11.28515625" style="412" customWidth="1"/>
    <col min="4107" max="4107" width="8.7109375" style="412" customWidth="1"/>
    <col min="4108" max="4108" width="10.7109375" style="412" customWidth="1"/>
    <col min="4109" max="4109" width="13" style="412" customWidth="1"/>
    <col min="4110" max="4352" width="9.28515625" style="412"/>
    <col min="4353" max="4353" width="6.42578125" style="412" customWidth="1"/>
    <col min="4354" max="4354" width="52.28515625" style="412" customWidth="1"/>
    <col min="4355" max="4355" width="23.7109375" style="412" customWidth="1"/>
    <col min="4356" max="4356" width="24.5703125" style="412" customWidth="1"/>
    <col min="4357" max="4357" width="18.28515625" style="412" customWidth="1"/>
    <col min="4358" max="4358" width="18" style="412" customWidth="1"/>
    <col min="4359" max="4359" width="15" style="412" bestFit="1" customWidth="1"/>
    <col min="4360" max="4360" width="16.7109375" style="412" customWidth="1"/>
    <col min="4361" max="4361" width="12.28515625" style="412" customWidth="1"/>
    <col min="4362" max="4362" width="11.28515625" style="412" customWidth="1"/>
    <col min="4363" max="4363" width="8.7109375" style="412" customWidth="1"/>
    <col min="4364" max="4364" width="10.7109375" style="412" customWidth="1"/>
    <col min="4365" max="4365" width="13" style="412" customWidth="1"/>
    <col min="4366" max="4608" width="9.28515625" style="412"/>
    <col min="4609" max="4609" width="6.42578125" style="412" customWidth="1"/>
    <col min="4610" max="4610" width="52.28515625" style="412" customWidth="1"/>
    <col min="4611" max="4611" width="23.7109375" style="412" customWidth="1"/>
    <col min="4612" max="4612" width="24.5703125" style="412" customWidth="1"/>
    <col min="4613" max="4613" width="18.28515625" style="412" customWidth="1"/>
    <col min="4614" max="4614" width="18" style="412" customWidth="1"/>
    <col min="4615" max="4615" width="15" style="412" bestFit="1" customWidth="1"/>
    <col min="4616" max="4616" width="16.7109375" style="412" customWidth="1"/>
    <col min="4617" max="4617" width="12.28515625" style="412" customWidth="1"/>
    <col min="4618" max="4618" width="11.28515625" style="412" customWidth="1"/>
    <col min="4619" max="4619" width="8.7109375" style="412" customWidth="1"/>
    <col min="4620" max="4620" width="10.7109375" style="412" customWidth="1"/>
    <col min="4621" max="4621" width="13" style="412" customWidth="1"/>
    <col min="4622" max="4864" width="9.28515625" style="412"/>
    <col min="4865" max="4865" width="6.42578125" style="412" customWidth="1"/>
    <col min="4866" max="4866" width="52.28515625" style="412" customWidth="1"/>
    <col min="4867" max="4867" width="23.7109375" style="412" customWidth="1"/>
    <col min="4868" max="4868" width="24.5703125" style="412" customWidth="1"/>
    <col min="4869" max="4869" width="18.28515625" style="412" customWidth="1"/>
    <col min="4870" max="4870" width="18" style="412" customWidth="1"/>
    <col min="4871" max="4871" width="15" style="412" bestFit="1" customWidth="1"/>
    <col min="4872" max="4872" width="16.7109375" style="412" customWidth="1"/>
    <col min="4873" max="4873" width="12.28515625" style="412" customWidth="1"/>
    <col min="4874" max="4874" width="11.28515625" style="412" customWidth="1"/>
    <col min="4875" max="4875" width="8.7109375" style="412" customWidth="1"/>
    <col min="4876" max="4876" width="10.7109375" style="412" customWidth="1"/>
    <col min="4877" max="4877" width="13" style="412" customWidth="1"/>
    <col min="4878" max="5120" width="9.28515625" style="412"/>
    <col min="5121" max="5121" width="6.42578125" style="412" customWidth="1"/>
    <col min="5122" max="5122" width="52.28515625" style="412" customWidth="1"/>
    <col min="5123" max="5123" width="23.7109375" style="412" customWidth="1"/>
    <col min="5124" max="5124" width="24.5703125" style="412" customWidth="1"/>
    <col min="5125" max="5125" width="18.28515625" style="412" customWidth="1"/>
    <col min="5126" max="5126" width="18" style="412" customWidth="1"/>
    <col min="5127" max="5127" width="15" style="412" bestFit="1" customWidth="1"/>
    <col min="5128" max="5128" width="16.7109375" style="412" customWidth="1"/>
    <col min="5129" max="5129" width="12.28515625" style="412" customWidth="1"/>
    <col min="5130" max="5130" width="11.28515625" style="412" customWidth="1"/>
    <col min="5131" max="5131" width="8.7109375" style="412" customWidth="1"/>
    <col min="5132" max="5132" width="10.7109375" style="412" customWidth="1"/>
    <col min="5133" max="5133" width="13" style="412" customWidth="1"/>
    <col min="5134" max="5376" width="9.28515625" style="412"/>
    <col min="5377" max="5377" width="6.42578125" style="412" customWidth="1"/>
    <col min="5378" max="5378" width="52.28515625" style="412" customWidth="1"/>
    <col min="5379" max="5379" width="23.7109375" style="412" customWidth="1"/>
    <col min="5380" max="5380" width="24.5703125" style="412" customWidth="1"/>
    <col min="5381" max="5381" width="18.28515625" style="412" customWidth="1"/>
    <col min="5382" max="5382" width="18" style="412" customWidth="1"/>
    <col min="5383" max="5383" width="15" style="412" bestFit="1" customWidth="1"/>
    <col min="5384" max="5384" width="16.7109375" style="412" customWidth="1"/>
    <col min="5385" max="5385" width="12.28515625" style="412" customWidth="1"/>
    <col min="5386" max="5386" width="11.28515625" style="412" customWidth="1"/>
    <col min="5387" max="5387" width="8.7109375" style="412" customWidth="1"/>
    <col min="5388" max="5388" width="10.7109375" style="412" customWidth="1"/>
    <col min="5389" max="5389" width="13" style="412" customWidth="1"/>
    <col min="5390" max="5632" width="9.28515625" style="412"/>
    <col min="5633" max="5633" width="6.42578125" style="412" customWidth="1"/>
    <col min="5634" max="5634" width="52.28515625" style="412" customWidth="1"/>
    <col min="5635" max="5635" width="23.7109375" style="412" customWidth="1"/>
    <col min="5636" max="5636" width="24.5703125" style="412" customWidth="1"/>
    <col min="5637" max="5637" width="18.28515625" style="412" customWidth="1"/>
    <col min="5638" max="5638" width="18" style="412" customWidth="1"/>
    <col min="5639" max="5639" width="15" style="412" bestFit="1" customWidth="1"/>
    <col min="5640" max="5640" width="16.7109375" style="412" customWidth="1"/>
    <col min="5641" max="5641" width="12.28515625" style="412" customWidth="1"/>
    <col min="5642" max="5642" width="11.28515625" style="412" customWidth="1"/>
    <col min="5643" max="5643" width="8.7109375" style="412" customWidth="1"/>
    <col min="5644" max="5644" width="10.7109375" style="412" customWidth="1"/>
    <col min="5645" max="5645" width="13" style="412" customWidth="1"/>
    <col min="5646" max="5888" width="9.28515625" style="412"/>
    <col min="5889" max="5889" width="6.42578125" style="412" customWidth="1"/>
    <col min="5890" max="5890" width="52.28515625" style="412" customWidth="1"/>
    <col min="5891" max="5891" width="23.7109375" style="412" customWidth="1"/>
    <col min="5892" max="5892" width="24.5703125" style="412" customWidth="1"/>
    <col min="5893" max="5893" width="18.28515625" style="412" customWidth="1"/>
    <col min="5894" max="5894" width="18" style="412" customWidth="1"/>
    <col min="5895" max="5895" width="15" style="412" bestFit="1" customWidth="1"/>
    <col min="5896" max="5896" width="16.7109375" style="412" customWidth="1"/>
    <col min="5897" max="5897" width="12.28515625" style="412" customWidth="1"/>
    <col min="5898" max="5898" width="11.28515625" style="412" customWidth="1"/>
    <col min="5899" max="5899" width="8.7109375" style="412" customWidth="1"/>
    <col min="5900" max="5900" width="10.7109375" style="412" customWidth="1"/>
    <col min="5901" max="5901" width="13" style="412" customWidth="1"/>
    <col min="5902" max="6144" width="9.28515625" style="412"/>
    <col min="6145" max="6145" width="6.42578125" style="412" customWidth="1"/>
    <col min="6146" max="6146" width="52.28515625" style="412" customWidth="1"/>
    <col min="6147" max="6147" width="23.7109375" style="412" customWidth="1"/>
    <col min="6148" max="6148" width="24.5703125" style="412" customWidth="1"/>
    <col min="6149" max="6149" width="18.28515625" style="412" customWidth="1"/>
    <col min="6150" max="6150" width="18" style="412" customWidth="1"/>
    <col min="6151" max="6151" width="15" style="412" bestFit="1" customWidth="1"/>
    <col min="6152" max="6152" width="16.7109375" style="412" customWidth="1"/>
    <col min="6153" max="6153" width="12.28515625" style="412" customWidth="1"/>
    <col min="6154" max="6154" width="11.28515625" style="412" customWidth="1"/>
    <col min="6155" max="6155" width="8.7109375" style="412" customWidth="1"/>
    <col min="6156" max="6156" width="10.7109375" style="412" customWidth="1"/>
    <col min="6157" max="6157" width="13" style="412" customWidth="1"/>
    <col min="6158" max="6400" width="9.28515625" style="412"/>
    <col min="6401" max="6401" width="6.42578125" style="412" customWidth="1"/>
    <col min="6402" max="6402" width="52.28515625" style="412" customWidth="1"/>
    <col min="6403" max="6403" width="23.7109375" style="412" customWidth="1"/>
    <col min="6404" max="6404" width="24.5703125" style="412" customWidth="1"/>
    <col min="6405" max="6405" width="18.28515625" style="412" customWidth="1"/>
    <col min="6406" max="6406" width="18" style="412" customWidth="1"/>
    <col min="6407" max="6407" width="15" style="412" bestFit="1" customWidth="1"/>
    <col min="6408" max="6408" width="16.7109375" style="412" customWidth="1"/>
    <col min="6409" max="6409" width="12.28515625" style="412" customWidth="1"/>
    <col min="6410" max="6410" width="11.28515625" style="412" customWidth="1"/>
    <col min="6411" max="6411" width="8.7109375" style="412" customWidth="1"/>
    <col min="6412" max="6412" width="10.7109375" style="412" customWidth="1"/>
    <col min="6413" max="6413" width="13" style="412" customWidth="1"/>
    <col min="6414" max="6656" width="9.28515625" style="412"/>
    <col min="6657" max="6657" width="6.42578125" style="412" customWidth="1"/>
    <col min="6658" max="6658" width="52.28515625" style="412" customWidth="1"/>
    <col min="6659" max="6659" width="23.7109375" style="412" customWidth="1"/>
    <col min="6660" max="6660" width="24.5703125" style="412" customWidth="1"/>
    <col min="6661" max="6661" width="18.28515625" style="412" customWidth="1"/>
    <col min="6662" max="6662" width="18" style="412" customWidth="1"/>
    <col min="6663" max="6663" width="15" style="412" bestFit="1" customWidth="1"/>
    <col min="6664" max="6664" width="16.7109375" style="412" customWidth="1"/>
    <col min="6665" max="6665" width="12.28515625" style="412" customWidth="1"/>
    <col min="6666" max="6666" width="11.28515625" style="412" customWidth="1"/>
    <col min="6667" max="6667" width="8.7109375" style="412" customWidth="1"/>
    <col min="6668" max="6668" width="10.7109375" style="412" customWidth="1"/>
    <col min="6669" max="6669" width="13" style="412" customWidth="1"/>
    <col min="6670" max="6912" width="9.28515625" style="412"/>
    <col min="6913" max="6913" width="6.42578125" style="412" customWidth="1"/>
    <col min="6914" max="6914" width="52.28515625" style="412" customWidth="1"/>
    <col min="6915" max="6915" width="23.7109375" style="412" customWidth="1"/>
    <col min="6916" max="6916" width="24.5703125" style="412" customWidth="1"/>
    <col min="6917" max="6917" width="18.28515625" style="412" customWidth="1"/>
    <col min="6918" max="6918" width="18" style="412" customWidth="1"/>
    <col min="6919" max="6919" width="15" style="412" bestFit="1" customWidth="1"/>
    <col min="6920" max="6920" width="16.7109375" style="412" customWidth="1"/>
    <col min="6921" max="6921" width="12.28515625" style="412" customWidth="1"/>
    <col min="6922" max="6922" width="11.28515625" style="412" customWidth="1"/>
    <col min="6923" max="6923" width="8.7109375" style="412" customWidth="1"/>
    <col min="6924" max="6924" width="10.7109375" style="412" customWidth="1"/>
    <col min="6925" max="6925" width="13" style="412" customWidth="1"/>
    <col min="6926" max="7168" width="9.28515625" style="412"/>
    <col min="7169" max="7169" width="6.42578125" style="412" customWidth="1"/>
    <col min="7170" max="7170" width="52.28515625" style="412" customWidth="1"/>
    <col min="7171" max="7171" width="23.7109375" style="412" customWidth="1"/>
    <col min="7172" max="7172" width="24.5703125" style="412" customWidth="1"/>
    <col min="7173" max="7173" width="18.28515625" style="412" customWidth="1"/>
    <col min="7174" max="7174" width="18" style="412" customWidth="1"/>
    <col min="7175" max="7175" width="15" style="412" bestFit="1" customWidth="1"/>
    <col min="7176" max="7176" width="16.7109375" style="412" customWidth="1"/>
    <col min="7177" max="7177" width="12.28515625" style="412" customWidth="1"/>
    <col min="7178" max="7178" width="11.28515625" style="412" customWidth="1"/>
    <col min="7179" max="7179" width="8.7109375" style="412" customWidth="1"/>
    <col min="7180" max="7180" width="10.7109375" style="412" customWidth="1"/>
    <col min="7181" max="7181" width="13" style="412" customWidth="1"/>
    <col min="7182" max="7424" width="9.28515625" style="412"/>
    <col min="7425" max="7425" width="6.42578125" style="412" customWidth="1"/>
    <col min="7426" max="7426" width="52.28515625" style="412" customWidth="1"/>
    <col min="7427" max="7427" width="23.7109375" style="412" customWidth="1"/>
    <col min="7428" max="7428" width="24.5703125" style="412" customWidth="1"/>
    <col min="7429" max="7429" width="18.28515625" style="412" customWidth="1"/>
    <col min="7430" max="7430" width="18" style="412" customWidth="1"/>
    <col min="7431" max="7431" width="15" style="412" bestFit="1" customWidth="1"/>
    <col min="7432" max="7432" width="16.7109375" style="412" customWidth="1"/>
    <col min="7433" max="7433" width="12.28515625" style="412" customWidth="1"/>
    <col min="7434" max="7434" width="11.28515625" style="412" customWidth="1"/>
    <col min="7435" max="7435" width="8.7109375" style="412" customWidth="1"/>
    <col min="7436" max="7436" width="10.7109375" style="412" customWidth="1"/>
    <col min="7437" max="7437" width="13" style="412" customWidth="1"/>
    <col min="7438" max="7680" width="9.28515625" style="412"/>
    <col min="7681" max="7681" width="6.42578125" style="412" customWidth="1"/>
    <col min="7682" max="7682" width="52.28515625" style="412" customWidth="1"/>
    <col min="7683" max="7683" width="23.7109375" style="412" customWidth="1"/>
    <col min="7684" max="7684" width="24.5703125" style="412" customWidth="1"/>
    <col min="7685" max="7685" width="18.28515625" style="412" customWidth="1"/>
    <col min="7686" max="7686" width="18" style="412" customWidth="1"/>
    <col min="7687" max="7687" width="15" style="412" bestFit="1" customWidth="1"/>
    <col min="7688" max="7688" width="16.7109375" style="412" customWidth="1"/>
    <col min="7689" max="7689" width="12.28515625" style="412" customWidth="1"/>
    <col min="7690" max="7690" width="11.28515625" style="412" customWidth="1"/>
    <col min="7691" max="7691" width="8.7109375" style="412" customWidth="1"/>
    <col min="7692" max="7692" width="10.7109375" style="412" customWidth="1"/>
    <col min="7693" max="7693" width="13" style="412" customWidth="1"/>
    <col min="7694" max="7936" width="9.28515625" style="412"/>
    <col min="7937" max="7937" width="6.42578125" style="412" customWidth="1"/>
    <col min="7938" max="7938" width="52.28515625" style="412" customWidth="1"/>
    <col min="7939" max="7939" width="23.7109375" style="412" customWidth="1"/>
    <col min="7940" max="7940" width="24.5703125" style="412" customWidth="1"/>
    <col min="7941" max="7941" width="18.28515625" style="412" customWidth="1"/>
    <col min="7942" max="7942" width="18" style="412" customWidth="1"/>
    <col min="7943" max="7943" width="15" style="412" bestFit="1" customWidth="1"/>
    <col min="7944" max="7944" width="16.7109375" style="412" customWidth="1"/>
    <col min="7945" max="7945" width="12.28515625" style="412" customWidth="1"/>
    <col min="7946" max="7946" width="11.28515625" style="412" customWidth="1"/>
    <col min="7947" max="7947" width="8.7109375" style="412" customWidth="1"/>
    <col min="7948" max="7948" width="10.7109375" style="412" customWidth="1"/>
    <col min="7949" max="7949" width="13" style="412" customWidth="1"/>
    <col min="7950" max="8192" width="9.28515625" style="412"/>
    <col min="8193" max="8193" width="6.42578125" style="412" customWidth="1"/>
    <col min="8194" max="8194" width="52.28515625" style="412" customWidth="1"/>
    <col min="8195" max="8195" width="23.7109375" style="412" customWidth="1"/>
    <col min="8196" max="8196" width="24.5703125" style="412" customWidth="1"/>
    <col min="8197" max="8197" width="18.28515625" style="412" customWidth="1"/>
    <col min="8198" max="8198" width="18" style="412" customWidth="1"/>
    <col min="8199" max="8199" width="15" style="412" bestFit="1" customWidth="1"/>
    <col min="8200" max="8200" width="16.7109375" style="412" customWidth="1"/>
    <col min="8201" max="8201" width="12.28515625" style="412" customWidth="1"/>
    <col min="8202" max="8202" width="11.28515625" style="412" customWidth="1"/>
    <col min="8203" max="8203" width="8.7109375" style="412" customWidth="1"/>
    <col min="8204" max="8204" width="10.7109375" style="412" customWidth="1"/>
    <col min="8205" max="8205" width="13" style="412" customWidth="1"/>
    <col min="8206" max="8448" width="9.28515625" style="412"/>
    <col min="8449" max="8449" width="6.42578125" style="412" customWidth="1"/>
    <col min="8450" max="8450" width="52.28515625" style="412" customWidth="1"/>
    <col min="8451" max="8451" width="23.7109375" style="412" customWidth="1"/>
    <col min="8452" max="8452" width="24.5703125" style="412" customWidth="1"/>
    <col min="8453" max="8453" width="18.28515625" style="412" customWidth="1"/>
    <col min="8454" max="8454" width="18" style="412" customWidth="1"/>
    <col min="8455" max="8455" width="15" style="412" bestFit="1" customWidth="1"/>
    <col min="8456" max="8456" width="16.7109375" style="412" customWidth="1"/>
    <col min="8457" max="8457" width="12.28515625" style="412" customWidth="1"/>
    <col min="8458" max="8458" width="11.28515625" style="412" customWidth="1"/>
    <col min="8459" max="8459" width="8.7109375" style="412" customWidth="1"/>
    <col min="8460" max="8460" width="10.7109375" style="412" customWidth="1"/>
    <col min="8461" max="8461" width="13" style="412" customWidth="1"/>
    <col min="8462" max="8704" width="9.28515625" style="412"/>
    <col min="8705" max="8705" width="6.42578125" style="412" customWidth="1"/>
    <col min="8706" max="8706" width="52.28515625" style="412" customWidth="1"/>
    <col min="8707" max="8707" width="23.7109375" style="412" customWidth="1"/>
    <col min="8708" max="8708" width="24.5703125" style="412" customWidth="1"/>
    <col min="8709" max="8709" width="18.28515625" style="412" customWidth="1"/>
    <col min="8710" max="8710" width="18" style="412" customWidth="1"/>
    <col min="8711" max="8711" width="15" style="412" bestFit="1" customWidth="1"/>
    <col min="8712" max="8712" width="16.7109375" style="412" customWidth="1"/>
    <col min="8713" max="8713" width="12.28515625" style="412" customWidth="1"/>
    <col min="8714" max="8714" width="11.28515625" style="412" customWidth="1"/>
    <col min="8715" max="8715" width="8.7109375" style="412" customWidth="1"/>
    <col min="8716" max="8716" width="10.7109375" style="412" customWidth="1"/>
    <col min="8717" max="8717" width="13" style="412" customWidth="1"/>
    <col min="8718" max="8960" width="9.28515625" style="412"/>
    <col min="8961" max="8961" width="6.42578125" style="412" customWidth="1"/>
    <col min="8962" max="8962" width="52.28515625" style="412" customWidth="1"/>
    <col min="8963" max="8963" width="23.7109375" style="412" customWidth="1"/>
    <col min="8964" max="8964" width="24.5703125" style="412" customWidth="1"/>
    <col min="8965" max="8965" width="18.28515625" style="412" customWidth="1"/>
    <col min="8966" max="8966" width="18" style="412" customWidth="1"/>
    <col min="8967" max="8967" width="15" style="412" bestFit="1" customWidth="1"/>
    <col min="8968" max="8968" width="16.7109375" style="412" customWidth="1"/>
    <col min="8969" max="8969" width="12.28515625" style="412" customWidth="1"/>
    <col min="8970" max="8970" width="11.28515625" style="412" customWidth="1"/>
    <col min="8971" max="8971" width="8.7109375" style="412" customWidth="1"/>
    <col min="8972" max="8972" width="10.7109375" style="412" customWidth="1"/>
    <col min="8973" max="8973" width="13" style="412" customWidth="1"/>
    <col min="8974" max="9216" width="9.28515625" style="412"/>
    <col min="9217" max="9217" width="6.42578125" style="412" customWidth="1"/>
    <col min="9218" max="9218" width="52.28515625" style="412" customWidth="1"/>
    <col min="9219" max="9219" width="23.7109375" style="412" customWidth="1"/>
    <col min="9220" max="9220" width="24.5703125" style="412" customWidth="1"/>
    <col min="9221" max="9221" width="18.28515625" style="412" customWidth="1"/>
    <col min="9222" max="9222" width="18" style="412" customWidth="1"/>
    <col min="9223" max="9223" width="15" style="412" bestFit="1" customWidth="1"/>
    <col min="9224" max="9224" width="16.7109375" style="412" customWidth="1"/>
    <col min="9225" max="9225" width="12.28515625" style="412" customWidth="1"/>
    <col min="9226" max="9226" width="11.28515625" style="412" customWidth="1"/>
    <col min="9227" max="9227" width="8.7109375" style="412" customWidth="1"/>
    <col min="9228" max="9228" width="10.7109375" style="412" customWidth="1"/>
    <col min="9229" max="9229" width="13" style="412" customWidth="1"/>
    <col min="9230" max="9472" width="9.28515625" style="412"/>
    <col min="9473" max="9473" width="6.42578125" style="412" customWidth="1"/>
    <col min="9474" max="9474" width="52.28515625" style="412" customWidth="1"/>
    <col min="9475" max="9475" width="23.7109375" style="412" customWidth="1"/>
    <col min="9476" max="9476" width="24.5703125" style="412" customWidth="1"/>
    <col min="9477" max="9477" width="18.28515625" style="412" customWidth="1"/>
    <col min="9478" max="9478" width="18" style="412" customWidth="1"/>
    <col min="9479" max="9479" width="15" style="412" bestFit="1" customWidth="1"/>
    <col min="9480" max="9480" width="16.7109375" style="412" customWidth="1"/>
    <col min="9481" max="9481" width="12.28515625" style="412" customWidth="1"/>
    <col min="9482" max="9482" width="11.28515625" style="412" customWidth="1"/>
    <col min="9483" max="9483" width="8.7109375" style="412" customWidth="1"/>
    <col min="9484" max="9484" width="10.7109375" style="412" customWidth="1"/>
    <col min="9485" max="9485" width="13" style="412" customWidth="1"/>
    <col min="9486" max="9728" width="9.28515625" style="412"/>
    <col min="9729" max="9729" width="6.42578125" style="412" customWidth="1"/>
    <col min="9730" max="9730" width="52.28515625" style="412" customWidth="1"/>
    <col min="9731" max="9731" width="23.7109375" style="412" customWidth="1"/>
    <col min="9732" max="9732" width="24.5703125" style="412" customWidth="1"/>
    <col min="9733" max="9733" width="18.28515625" style="412" customWidth="1"/>
    <col min="9734" max="9734" width="18" style="412" customWidth="1"/>
    <col min="9735" max="9735" width="15" style="412" bestFit="1" customWidth="1"/>
    <col min="9736" max="9736" width="16.7109375" style="412" customWidth="1"/>
    <col min="9737" max="9737" width="12.28515625" style="412" customWidth="1"/>
    <col min="9738" max="9738" width="11.28515625" style="412" customWidth="1"/>
    <col min="9739" max="9739" width="8.7109375" style="412" customWidth="1"/>
    <col min="9740" max="9740" width="10.7109375" style="412" customWidth="1"/>
    <col min="9741" max="9741" width="13" style="412" customWidth="1"/>
    <col min="9742" max="9984" width="9.28515625" style="412"/>
    <col min="9985" max="9985" width="6.42578125" style="412" customWidth="1"/>
    <col min="9986" max="9986" width="52.28515625" style="412" customWidth="1"/>
    <col min="9987" max="9987" width="23.7109375" style="412" customWidth="1"/>
    <col min="9988" max="9988" width="24.5703125" style="412" customWidth="1"/>
    <col min="9989" max="9989" width="18.28515625" style="412" customWidth="1"/>
    <col min="9990" max="9990" width="18" style="412" customWidth="1"/>
    <col min="9991" max="9991" width="15" style="412" bestFit="1" customWidth="1"/>
    <col min="9992" max="9992" width="16.7109375" style="412" customWidth="1"/>
    <col min="9993" max="9993" width="12.28515625" style="412" customWidth="1"/>
    <col min="9994" max="9994" width="11.28515625" style="412" customWidth="1"/>
    <col min="9995" max="9995" width="8.7109375" style="412" customWidth="1"/>
    <col min="9996" max="9996" width="10.7109375" style="412" customWidth="1"/>
    <col min="9997" max="9997" width="13" style="412" customWidth="1"/>
    <col min="9998" max="10240" width="9.28515625" style="412"/>
    <col min="10241" max="10241" width="6.42578125" style="412" customWidth="1"/>
    <col min="10242" max="10242" width="52.28515625" style="412" customWidth="1"/>
    <col min="10243" max="10243" width="23.7109375" style="412" customWidth="1"/>
    <col min="10244" max="10244" width="24.5703125" style="412" customWidth="1"/>
    <col min="10245" max="10245" width="18.28515625" style="412" customWidth="1"/>
    <col min="10246" max="10246" width="18" style="412" customWidth="1"/>
    <col min="10247" max="10247" width="15" style="412" bestFit="1" customWidth="1"/>
    <col min="10248" max="10248" width="16.7109375" style="412" customWidth="1"/>
    <col min="10249" max="10249" width="12.28515625" style="412" customWidth="1"/>
    <col min="10250" max="10250" width="11.28515625" style="412" customWidth="1"/>
    <col min="10251" max="10251" width="8.7109375" style="412" customWidth="1"/>
    <col min="10252" max="10252" width="10.7109375" style="412" customWidth="1"/>
    <col min="10253" max="10253" width="13" style="412" customWidth="1"/>
    <col min="10254" max="10496" width="9.28515625" style="412"/>
    <col min="10497" max="10497" width="6.42578125" style="412" customWidth="1"/>
    <col min="10498" max="10498" width="52.28515625" style="412" customWidth="1"/>
    <col min="10499" max="10499" width="23.7109375" style="412" customWidth="1"/>
    <col min="10500" max="10500" width="24.5703125" style="412" customWidth="1"/>
    <col min="10501" max="10501" width="18.28515625" style="412" customWidth="1"/>
    <col min="10502" max="10502" width="18" style="412" customWidth="1"/>
    <col min="10503" max="10503" width="15" style="412" bestFit="1" customWidth="1"/>
    <col min="10504" max="10504" width="16.7109375" style="412" customWidth="1"/>
    <col min="10505" max="10505" width="12.28515625" style="412" customWidth="1"/>
    <col min="10506" max="10506" width="11.28515625" style="412" customWidth="1"/>
    <col min="10507" max="10507" width="8.7109375" style="412" customWidth="1"/>
    <col min="10508" max="10508" width="10.7109375" style="412" customWidth="1"/>
    <col min="10509" max="10509" width="13" style="412" customWidth="1"/>
    <col min="10510" max="10752" width="9.28515625" style="412"/>
    <col min="10753" max="10753" width="6.42578125" style="412" customWidth="1"/>
    <col min="10754" max="10754" width="52.28515625" style="412" customWidth="1"/>
    <col min="10755" max="10755" width="23.7109375" style="412" customWidth="1"/>
    <col min="10756" max="10756" width="24.5703125" style="412" customWidth="1"/>
    <col min="10757" max="10757" width="18.28515625" style="412" customWidth="1"/>
    <col min="10758" max="10758" width="18" style="412" customWidth="1"/>
    <col min="10759" max="10759" width="15" style="412" bestFit="1" customWidth="1"/>
    <col min="10760" max="10760" width="16.7109375" style="412" customWidth="1"/>
    <col min="10761" max="10761" width="12.28515625" style="412" customWidth="1"/>
    <col min="10762" max="10762" width="11.28515625" style="412" customWidth="1"/>
    <col min="10763" max="10763" width="8.7109375" style="412" customWidth="1"/>
    <col min="10764" max="10764" width="10.7109375" style="412" customWidth="1"/>
    <col min="10765" max="10765" width="13" style="412" customWidth="1"/>
    <col min="10766" max="11008" width="9.28515625" style="412"/>
    <col min="11009" max="11009" width="6.42578125" style="412" customWidth="1"/>
    <col min="11010" max="11010" width="52.28515625" style="412" customWidth="1"/>
    <col min="11011" max="11011" width="23.7109375" style="412" customWidth="1"/>
    <col min="11012" max="11012" width="24.5703125" style="412" customWidth="1"/>
    <col min="11013" max="11013" width="18.28515625" style="412" customWidth="1"/>
    <col min="11014" max="11014" width="18" style="412" customWidth="1"/>
    <col min="11015" max="11015" width="15" style="412" bestFit="1" customWidth="1"/>
    <col min="11016" max="11016" width="16.7109375" style="412" customWidth="1"/>
    <col min="11017" max="11017" width="12.28515625" style="412" customWidth="1"/>
    <col min="11018" max="11018" width="11.28515625" style="412" customWidth="1"/>
    <col min="11019" max="11019" width="8.7109375" style="412" customWidth="1"/>
    <col min="11020" max="11020" width="10.7109375" style="412" customWidth="1"/>
    <col min="11021" max="11021" width="13" style="412" customWidth="1"/>
    <col min="11022" max="11264" width="9.28515625" style="412"/>
    <col min="11265" max="11265" width="6.42578125" style="412" customWidth="1"/>
    <col min="11266" max="11266" width="52.28515625" style="412" customWidth="1"/>
    <col min="11267" max="11267" width="23.7109375" style="412" customWidth="1"/>
    <col min="11268" max="11268" width="24.5703125" style="412" customWidth="1"/>
    <col min="11269" max="11269" width="18.28515625" style="412" customWidth="1"/>
    <col min="11270" max="11270" width="18" style="412" customWidth="1"/>
    <col min="11271" max="11271" width="15" style="412" bestFit="1" customWidth="1"/>
    <col min="11272" max="11272" width="16.7109375" style="412" customWidth="1"/>
    <col min="11273" max="11273" width="12.28515625" style="412" customWidth="1"/>
    <col min="11274" max="11274" width="11.28515625" style="412" customWidth="1"/>
    <col min="11275" max="11275" width="8.7109375" style="412" customWidth="1"/>
    <col min="11276" max="11276" width="10.7109375" style="412" customWidth="1"/>
    <col min="11277" max="11277" width="13" style="412" customWidth="1"/>
    <col min="11278" max="11520" width="9.28515625" style="412"/>
    <col min="11521" max="11521" width="6.42578125" style="412" customWidth="1"/>
    <col min="11522" max="11522" width="52.28515625" style="412" customWidth="1"/>
    <col min="11523" max="11523" width="23.7109375" style="412" customWidth="1"/>
    <col min="11524" max="11524" width="24.5703125" style="412" customWidth="1"/>
    <col min="11525" max="11525" width="18.28515625" style="412" customWidth="1"/>
    <col min="11526" max="11526" width="18" style="412" customWidth="1"/>
    <col min="11527" max="11527" width="15" style="412" bestFit="1" customWidth="1"/>
    <col min="11528" max="11528" width="16.7109375" style="412" customWidth="1"/>
    <col min="11529" max="11529" width="12.28515625" style="412" customWidth="1"/>
    <col min="11530" max="11530" width="11.28515625" style="412" customWidth="1"/>
    <col min="11531" max="11531" width="8.7109375" style="412" customWidth="1"/>
    <col min="11532" max="11532" width="10.7109375" style="412" customWidth="1"/>
    <col min="11533" max="11533" width="13" style="412" customWidth="1"/>
    <col min="11534" max="11776" width="9.28515625" style="412"/>
    <col min="11777" max="11777" width="6.42578125" style="412" customWidth="1"/>
    <col min="11778" max="11778" width="52.28515625" style="412" customWidth="1"/>
    <col min="11779" max="11779" width="23.7109375" style="412" customWidth="1"/>
    <col min="11780" max="11780" width="24.5703125" style="412" customWidth="1"/>
    <col min="11781" max="11781" width="18.28515625" style="412" customWidth="1"/>
    <col min="11782" max="11782" width="18" style="412" customWidth="1"/>
    <col min="11783" max="11783" width="15" style="412" bestFit="1" customWidth="1"/>
    <col min="11784" max="11784" width="16.7109375" style="412" customWidth="1"/>
    <col min="11785" max="11785" width="12.28515625" style="412" customWidth="1"/>
    <col min="11786" max="11786" width="11.28515625" style="412" customWidth="1"/>
    <col min="11787" max="11787" width="8.7109375" style="412" customWidth="1"/>
    <col min="11788" max="11788" width="10.7109375" style="412" customWidth="1"/>
    <col min="11789" max="11789" width="13" style="412" customWidth="1"/>
    <col min="11790" max="12032" width="9.28515625" style="412"/>
    <col min="12033" max="12033" width="6.42578125" style="412" customWidth="1"/>
    <col min="12034" max="12034" width="52.28515625" style="412" customWidth="1"/>
    <col min="12035" max="12035" width="23.7109375" style="412" customWidth="1"/>
    <col min="12036" max="12036" width="24.5703125" style="412" customWidth="1"/>
    <col min="12037" max="12037" width="18.28515625" style="412" customWidth="1"/>
    <col min="12038" max="12038" width="18" style="412" customWidth="1"/>
    <col min="12039" max="12039" width="15" style="412" bestFit="1" customWidth="1"/>
    <col min="12040" max="12040" width="16.7109375" style="412" customWidth="1"/>
    <col min="12041" max="12041" width="12.28515625" style="412" customWidth="1"/>
    <col min="12042" max="12042" width="11.28515625" style="412" customWidth="1"/>
    <col min="12043" max="12043" width="8.7109375" style="412" customWidth="1"/>
    <col min="12044" max="12044" width="10.7109375" style="412" customWidth="1"/>
    <col min="12045" max="12045" width="13" style="412" customWidth="1"/>
    <col min="12046" max="12288" width="9.28515625" style="412"/>
    <col min="12289" max="12289" width="6.42578125" style="412" customWidth="1"/>
    <col min="12290" max="12290" width="52.28515625" style="412" customWidth="1"/>
    <col min="12291" max="12291" width="23.7109375" style="412" customWidth="1"/>
    <col min="12292" max="12292" width="24.5703125" style="412" customWidth="1"/>
    <col min="12293" max="12293" width="18.28515625" style="412" customWidth="1"/>
    <col min="12294" max="12294" width="18" style="412" customWidth="1"/>
    <col min="12295" max="12295" width="15" style="412" bestFit="1" customWidth="1"/>
    <col min="12296" max="12296" width="16.7109375" style="412" customWidth="1"/>
    <col min="12297" max="12297" width="12.28515625" style="412" customWidth="1"/>
    <col min="12298" max="12298" width="11.28515625" style="412" customWidth="1"/>
    <col min="12299" max="12299" width="8.7109375" style="412" customWidth="1"/>
    <col min="12300" max="12300" width="10.7109375" style="412" customWidth="1"/>
    <col min="12301" max="12301" width="13" style="412" customWidth="1"/>
    <col min="12302" max="12544" width="9.28515625" style="412"/>
    <col min="12545" max="12545" width="6.42578125" style="412" customWidth="1"/>
    <col min="12546" max="12546" width="52.28515625" style="412" customWidth="1"/>
    <col min="12547" max="12547" width="23.7109375" style="412" customWidth="1"/>
    <col min="12548" max="12548" width="24.5703125" style="412" customWidth="1"/>
    <col min="12549" max="12549" width="18.28515625" style="412" customWidth="1"/>
    <col min="12550" max="12550" width="18" style="412" customWidth="1"/>
    <col min="12551" max="12551" width="15" style="412" bestFit="1" customWidth="1"/>
    <col min="12552" max="12552" width="16.7109375" style="412" customWidth="1"/>
    <col min="12553" max="12553" width="12.28515625" style="412" customWidth="1"/>
    <col min="12554" max="12554" width="11.28515625" style="412" customWidth="1"/>
    <col min="12555" max="12555" width="8.7109375" style="412" customWidth="1"/>
    <col min="12556" max="12556" width="10.7109375" style="412" customWidth="1"/>
    <col min="12557" max="12557" width="13" style="412" customWidth="1"/>
    <col min="12558" max="12800" width="9.28515625" style="412"/>
    <col min="12801" max="12801" width="6.42578125" style="412" customWidth="1"/>
    <col min="12802" max="12802" width="52.28515625" style="412" customWidth="1"/>
    <col min="12803" max="12803" width="23.7109375" style="412" customWidth="1"/>
    <col min="12804" max="12804" width="24.5703125" style="412" customWidth="1"/>
    <col min="12805" max="12805" width="18.28515625" style="412" customWidth="1"/>
    <col min="12806" max="12806" width="18" style="412" customWidth="1"/>
    <col min="12807" max="12807" width="15" style="412" bestFit="1" customWidth="1"/>
    <col min="12808" max="12808" width="16.7109375" style="412" customWidth="1"/>
    <col min="12809" max="12809" width="12.28515625" style="412" customWidth="1"/>
    <col min="12810" max="12810" width="11.28515625" style="412" customWidth="1"/>
    <col min="12811" max="12811" width="8.7109375" style="412" customWidth="1"/>
    <col min="12812" max="12812" width="10.7109375" style="412" customWidth="1"/>
    <col min="12813" max="12813" width="13" style="412" customWidth="1"/>
    <col min="12814" max="13056" width="9.28515625" style="412"/>
    <col min="13057" max="13057" width="6.42578125" style="412" customWidth="1"/>
    <col min="13058" max="13058" width="52.28515625" style="412" customWidth="1"/>
    <col min="13059" max="13059" width="23.7109375" style="412" customWidth="1"/>
    <col min="13060" max="13060" width="24.5703125" style="412" customWidth="1"/>
    <col min="13061" max="13061" width="18.28515625" style="412" customWidth="1"/>
    <col min="13062" max="13062" width="18" style="412" customWidth="1"/>
    <col min="13063" max="13063" width="15" style="412" bestFit="1" customWidth="1"/>
    <col min="13064" max="13064" width="16.7109375" style="412" customWidth="1"/>
    <col min="13065" max="13065" width="12.28515625" style="412" customWidth="1"/>
    <col min="13066" max="13066" width="11.28515625" style="412" customWidth="1"/>
    <col min="13067" max="13067" width="8.7109375" style="412" customWidth="1"/>
    <col min="13068" max="13068" width="10.7109375" style="412" customWidth="1"/>
    <col min="13069" max="13069" width="13" style="412" customWidth="1"/>
    <col min="13070" max="13312" width="9.28515625" style="412"/>
    <col min="13313" max="13313" width="6.42578125" style="412" customWidth="1"/>
    <col min="13314" max="13314" width="52.28515625" style="412" customWidth="1"/>
    <col min="13315" max="13315" width="23.7109375" style="412" customWidth="1"/>
    <col min="13316" max="13316" width="24.5703125" style="412" customWidth="1"/>
    <col min="13317" max="13317" width="18.28515625" style="412" customWidth="1"/>
    <col min="13318" max="13318" width="18" style="412" customWidth="1"/>
    <col min="13319" max="13319" width="15" style="412" bestFit="1" customWidth="1"/>
    <col min="13320" max="13320" width="16.7109375" style="412" customWidth="1"/>
    <col min="13321" max="13321" width="12.28515625" style="412" customWidth="1"/>
    <col min="13322" max="13322" width="11.28515625" style="412" customWidth="1"/>
    <col min="13323" max="13323" width="8.7109375" style="412" customWidth="1"/>
    <col min="13324" max="13324" width="10.7109375" style="412" customWidth="1"/>
    <col min="13325" max="13325" width="13" style="412" customWidth="1"/>
    <col min="13326" max="13568" width="9.28515625" style="412"/>
    <col min="13569" max="13569" width="6.42578125" style="412" customWidth="1"/>
    <col min="13570" max="13570" width="52.28515625" style="412" customWidth="1"/>
    <col min="13571" max="13571" width="23.7109375" style="412" customWidth="1"/>
    <col min="13572" max="13572" width="24.5703125" style="412" customWidth="1"/>
    <col min="13573" max="13573" width="18.28515625" style="412" customWidth="1"/>
    <col min="13574" max="13574" width="18" style="412" customWidth="1"/>
    <col min="13575" max="13575" width="15" style="412" bestFit="1" customWidth="1"/>
    <col min="13576" max="13576" width="16.7109375" style="412" customWidth="1"/>
    <col min="13577" max="13577" width="12.28515625" style="412" customWidth="1"/>
    <col min="13578" max="13578" width="11.28515625" style="412" customWidth="1"/>
    <col min="13579" max="13579" width="8.7109375" style="412" customWidth="1"/>
    <col min="13580" max="13580" width="10.7109375" style="412" customWidth="1"/>
    <col min="13581" max="13581" width="13" style="412" customWidth="1"/>
    <col min="13582" max="13824" width="9.28515625" style="412"/>
    <col min="13825" max="13825" width="6.42578125" style="412" customWidth="1"/>
    <col min="13826" max="13826" width="52.28515625" style="412" customWidth="1"/>
    <col min="13827" max="13827" width="23.7109375" style="412" customWidth="1"/>
    <col min="13828" max="13828" width="24.5703125" style="412" customWidth="1"/>
    <col min="13829" max="13829" width="18.28515625" style="412" customWidth="1"/>
    <col min="13830" max="13830" width="18" style="412" customWidth="1"/>
    <col min="13831" max="13831" width="15" style="412" bestFit="1" customWidth="1"/>
    <col min="13832" max="13832" width="16.7109375" style="412" customWidth="1"/>
    <col min="13833" max="13833" width="12.28515625" style="412" customWidth="1"/>
    <col min="13834" max="13834" width="11.28515625" style="412" customWidth="1"/>
    <col min="13835" max="13835" width="8.7109375" style="412" customWidth="1"/>
    <col min="13836" max="13836" width="10.7109375" style="412" customWidth="1"/>
    <col min="13837" max="13837" width="13" style="412" customWidth="1"/>
    <col min="13838" max="14080" width="9.28515625" style="412"/>
    <col min="14081" max="14081" width="6.42578125" style="412" customWidth="1"/>
    <col min="14082" max="14082" width="52.28515625" style="412" customWidth="1"/>
    <col min="14083" max="14083" width="23.7109375" style="412" customWidth="1"/>
    <col min="14084" max="14084" width="24.5703125" style="412" customWidth="1"/>
    <col min="14085" max="14085" width="18.28515625" style="412" customWidth="1"/>
    <col min="14086" max="14086" width="18" style="412" customWidth="1"/>
    <col min="14087" max="14087" width="15" style="412" bestFit="1" customWidth="1"/>
    <col min="14088" max="14088" width="16.7109375" style="412" customWidth="1"/>
    <col min="14089" max="14089" width="12.28515625" style="412" customWidth="1"/>
    <col min="14090" max="14090" width="11.28515625" style="412" customWidth="1"/>
    <col min="14091" max="14091" width="8.7109375" style="412" customWidth="1"/>
    <col min="14092" max="14092" width="10.7109375" style="412" customWidth="1"/>
    <col min="14093" max="14093" width="13" style="412" customWidth="1"/>
    <col min="14094" max="14336" width="9.28515625" style="412"/>
    <col min="14337" max="14337" width="6.42578125" style="412" customWidth="1"/>
    <col min="14338" max="14338" width="52.28515625" style="412" customWidth="1"/>
    <col min="14339" max="14339" width="23.7109375" style="412" customWidth="1"/>
    <col min="14340" max="14340" width="24.5703125" style="412" customWidth="1"/>
    <col min="14341" max="14341" width="18.28515625" style="412" customWidth="1"/>
    <col min="14342" max="14342" width="18" style="412" customWidth="1"/>
    <col min="14343" max="14343" width="15" style="412" bestFit="1" customWidth="1"/>
    <col min="14344" max="14344" width="16.7109375" style="412" customWidth="1"/>
    <col min="14345" max="14345" width="12.28515625" style="412" customWidth="1"/>
    <col min="14346" max="14346" width="11.28515625" style="412" customWidth="1"/>
    <col min="14347" max="14347" width="8.7109375" style="412" customWidth="1"/>
    <col min="14348" max="14348" width="10.7109375" style="412" customWidth="1"/>
    <col min="14349" max="14349" width="13" style="412" customWidth="1"/>
    <col min="14350" max="14592" width="9.28515625" style="412"/>
    <col min="14593" max="14593" width="6.42578125" style="412" customWidth="1"/>
    <col min="14594" max="14594" width="52.28515625" style="412" customWidth="1"/>
    <col min="14595" max="14595" width="23.7109375" style="412" customWidth="1"/>
    <col min="14596" max="14596" width="24.5703125" style="412" customWidth="1"/>
    <col min="14597" max="14597" width="18.28515625" style="412" customWidth="1"/>
    <col min="14598" max="14598" width="18" style="412" customWidth="1"/>
    <col min="14599" max="14599" width="15" style="412" bestFit="1" customWidth="1"/>
    <col min="14600" max="14600" width="16.7109375" style="412" customWidth="1"/>
    <col min="14601" max="14601" width="12.28515625" style="412" customWidth="1"/>
    <col min="14602" max="14602" width="11.28515625" style="412" customWidth="1"/>
    <col min="14603" max="14603" width="8.7109375" style="412" customWidth="1"/>
    <col min="14604" max="14604" width="10.7109375" style="412" customWidth="1"/>
    <col min="14605" max="14605" width="13" style="412" customWidth="1"/>
    <col min="14606" max="14848" width="9.28515625" style="412"/>
    <col min="14849" max="14849" width="6.42578125" style="412" customWidth="1"/>
    <col min="14850" max="14850" width="52.28515625" style="412" customWidth="1"/>
    <col min="14851" max="14851" width="23.7109375" style="412" customWidth="1"/>
    <col min="14852" max="14852" width="24.5703125" style="412" customWidth="1"/>
    <col min="14853" max="14853" width="18.28515625" style="412" customWidth="1"/>
    <col min="14854" max="14854" width="18" style="412" customWidth="1"/>
    <col min="14855" max="14855" width="15" style="412" bestFit="1" customWidth="1"/>
    <col min="14856" max="14856" width="16.7109375" style="412" customWidth="1"/>
    <col min="14857" max="14857" width="12.28515625" style="412" customWidth="1"/>
    <col min="14858" max="14858" width="11.28515625" style="412" customWidth="1"/>
    <col min="14859" max="14859" width="8.7109375" style="412" customWidth="1"/>
    <col min="14860" max="14860" width="10.7109375" style="412" customWidth="1"/>
    <col min="14861" max="14861" width="13" style="412" customWidth="1"/>
    <col min="14862" max="15104" width="9.28515625" style="412"/>
    <col min="15105" max="15105" width="6.42578125" style="412" customWidth="1"/>
    <col min="15106" max="15106" width="52.28515625" style="412" customWidth="1"/>
    <col min="15107" max="15107" width="23.7109375" style="412" customWidth="1"/>
    <col min="15108" max="15108" width="24.5703125" style="412" customWidth="1"/>
    <col min="15109" max="15109" width="18.28515625" style="412" customWidth="1"/>
    <col min="15110" max="15110" width="18" style="412" customWidth="1"/>
    <col min="15111" max="15111" width="15" style="412" bestFit="1" customWidth="1"/>
    <col min="15112" max="15112" width="16.7109375" style="412" customWidth="1"/>
    <col min="15113" max="15113" width="12.28515625" style="412" customWidth="1"/>
    <col min="15114" max="15114" width="11.28515625" style="412" customWidth="1"/>
    <col min="15115" max="15115" width="8.7109375" style="412" customWidth="1"/>
    <col min="15116" max="15116" width="10.7109375" style="412" customWidth="1"/>
    <col min="15117" max="15117" width="13" style="412" customWidth="1"/>
    <col min="15118" max="15360" width="9.28515625" style="412"/>
    <col min="15361" max="15361" width="6.42578125" style="412" customWidth="1"/>
    <col min="15362" max="15362" width="52.28515625" style="412" customWidth="1"/>
    <col min="15363" max="15363" width="23.7109375" style="412" customWidth="1"/>
    <col min="15364" max="15364" width="24.5703125" style="412" customWidth="1"/>
    <col min="15365" max="15365" width="18.28515625" style="412" customWidth="1"/>
    <col min="15366" max="15366" width="18" style="412" customWidth="1"/>
    <col min="15367" max="15367" width="15" style="412" bestFit="1" customWidth="1"/>
    <col min="15368" max="15368" width="16.7109375" style="412" customWidth="1"/>
    <col min="15369" max="15369" width="12.28515625" style="412" customWidth="1"/>
    <col min="15370" max="15370" width="11.28515625" style="412" customWidth="1"/>
    <col min="15371" max="15371" width="8.7109375" style="412" customWidth="1"/>
    <col min="15372" max="15372" width="10.7109375" style="412" customWidth="1"/>
    <col min="15373" max="15373" width="13" style="412" customWidth="1"/>
    <col min="15374" max="15616" width="9.28515625" style="412"/>
    <col min="15617" max="15617" width="6.42578125" style="412" customWidth="1"/>
    <col min="15618" max="15618" width="52.28515625" style="412" customWidth="1"/>
    <col min="15619" max="15619" width="23.7109375" style="412" customWidth="1"/>
    <col min="15620" max="15620" width="24.5703125" style="412" customWidth="1"/>
    <col min="15621" max="15621" width="18.28515625" style="412" customWidth="1"/>
    <col min="15622" max="15622" width="18" style="412" customWidth="1"/>
    <col min="15623" max="15623" width="15" style="412" bestFit="1" customWidth="1"/>
    <col min="15624" max="15624" width="16.7109375" style="412" customWidth="1"/>
    <col min="15625" max="15625" width="12.28515625" style="412" customWidth="1"/>
    <col min="15626" max="15626" width="11.28515625" style="412" customWidth="1"/>
    <col min="15627" max="15627" width="8.7109375" style="412" customWidth="1"/>
    <col min="15628" max="15628" width="10.7109375" style="412" customWidth="1"/>
    <col min="15629" max="15629" width="13" style="412" customWidth="1"/>
    <col min="15630" max="15872" width="9.28515625" style="412"/>
    <col min="15873" max="15873" width="6.42578125" style="412" customWidth="1"/>
    <col min="15874" max="15874" width="52.28515625" style="412" customWidth="1"/>
    <col min="15875" max="15875" width="23.7109375" style="412" customWidth="1"/>
    <col min="15876" max="15876" width="24.5703125" style="412" customWidth="1"/>
    <col min="15877" max="15877" width="18.28515625" style="412" customWidth="1"/>
    <col min="15878" max="15878" width="18" style="412" customWidth="1"/>
    <col min="15879" max="15879" width="15" style="412" bestFit="1" customWidth="1"/>
    <col min="15880" max="15880" width="16.7109375" style="412" customWidth="1"/>
    <col min="15881" max="15881" width="12.28515625" style="412" customWidth="1"/>
    <col min="15882" max="15882" width="11.28515625" style="412" customWidth="1"/>
    <col min="15883" max="15883" width="8.7109375" style="412" customWidth="1"/>
    <col min="15884" max="15884" width="10.7109375" style="412" customWidth="1"/>
    <col min="15885" max="15885" width="13" style="412" customWidth="1"/>
    <col min="15886" max="16128" width="9.28515625" style="412"/>
    <col min="16129" max="16129" width="6.42578125" style="412" customWidth="1"/>
    <col min="16130" max="16130" width="52.28515625" style="412" customWidth="1"/>
    <col min="16131" max="16131" width="23.7109375" style="412" customWidth="1"/>
    <col min="16132" max="16132" width="24.5703125" style="412" customWidth="1"/>
    <col min="16133" max="16133" width="18.28515625" style="412" customWidth="1"/>
    <col min="16134" max="16134" width="18" style="412" customWidth="1"/>
    <col min="16135" max="16135" width="15" style="412" bestFit="1" customWidth="1"/>
    <col min="16136" max="16136" width="16.7109375" style="412" customWidth="1"/>
    <col min="16137" max="16137" width="12.28515625" style="412" customWidth="1"/>
    <col min="16138" max="16138" width="11.28515625" style="412" customWidth="1"/>
    <col min="16139" max="16139" width="8.7109375" style="412" customWidth="1"/>
    <col min="16140" max="16140" width="10.7109375" style="412" customWidth="1"/>
    <col min="16141" max="16141" width="13" style="412" customWidth="1"/>
    <col min="16142" max="16384" width="9.28515625" style="412"/>
  </cols>
  <sheetData>
    <row r="1" spans="1:17">
      <c r="E1" s="1986" t="s">
        <v>907</v>
      </c>
      <c r="F1" s="1986"/>
    </row>
    <row r="2" spans="1:17" ht="41.25" customHeight="1">
      <c r="A2" s="1996" t="s">
        <v>906</v>
      </c>
      <c r="B2" s="1996"/>
      <c r="C2" s="1996"/>
      <c r="D2" s="1996"/>
      <c r="E2" s="1996"/>
      <c r="F2" s="1996"/>
    </row>
    <row r="3" spans="1:17" ht="28.5" customHeight="1">
      <c r="E3" s="1987" t="s">
        <v>205</v>
      </c>
      <c r="F3" s="1987"/>
    </row>
    <row r="4" spans="1:17" s="421" customFormat="1" ht="42.75" customHeight="1">
      <c r="A4" s="418" t="s">
        <v>291</v>
      </c>
      <c r="B4" s="418" t="s">
        <v>292</v>
      </c>
      <c r="C4" s="418" t="s">
        <v>713</v>
      </c>
      <c r="D4" s="418" t="s">
        <v>714</v>
      </c>
      <c r="E4" s="419" t="s">
        <v>715</v>
      </c>
      <c r="F4" s="419" t="s">
        <v>716</v>
      </c>
    </row>
    <row r="5" spans="1:17" s="421" customFormat="1" ht="24" customHeight="1">
      <c r="A5" s="811" t="s">
        <v>294</v>
      </c>
      <c r="B5" s="811" t="s">
        <v>295</v>
      </c>
      <c r="C5" s="811" t="s">
        <v>229</v>
      </c>
      <c r="D5" s="811" t="s">
        <v>379</v>
      </c>
      <c r="E5" s="812">
        <v>1</v>
      </c>
      <c r="F5" s="811">
        <v>2</v>
      </c>
    </row>
    <row r="6" spans="1:17" s="421" customFormat="1" ht="42.75" customHeight="1">
      <c r="A6" s="743" t="s">
        <v>296</v>
      </c>
      <c r="B6" s="629" t="s">
        <v>880</v>
      </c>
      <c r="C6" s="744"/>
      <c r="D6" s="744"/>
      <c r="E6" s="747">
        <f>SUM(E7:E9)</f>
        <v>9201.81</v>
      </c>
      <c r="F6" s="745"/>
    </row>
    <row r="7" spans="1:17" s="443" customFormat="1" ht="24" customHeight="1">
      <c r="A7" s="741">
        <v>1</v>
      </c>
      <c r="B7" s="621" t="s">
        <v>873</v>
      </c>
      <c r="C7" s="407"/>
      <c r="D7" s="408"/>
      <c r="E7" s="746"/>
      <c r="F7" s="622"/>
      <c r="G7" s="623"/>
      <c r="H7" s="623"/>
      <c r="I7" s="475"/>
      <c r="J7" s="475"/>
      <c r="K7" s="475"/>
      <c r="L7" s="475"/>
      <c r="M7" s="475"/>
      <c r="N7" s="475"/>
      <c r="O7" s="475"/>
      <c r="P7" s="475"/>
      <c r="Q7" s="475"/>
    </row>
    <row r="8" spans="1:17" s="443" customFormat="1" ht="24" customHeight="1">
      <c r="A8" s="740">
        <v>2</v>
      </c>
      <c r="B8" s="625" t="s">
        <v>874</v>
      </c>
      <c r="C8" s="409"/>
      <c r="D8" s="626"/>
      <c r="E8" s="742">
        <v>6101.18</v>
      </c>
      <c r="F8" s="730"/>
      <c r="G8" s="623"/>
      <c r="H8" s="623"/>
      <c r="I8" s="475"/>
      <c r="J8" s="475"/>
      <c r="K8" s="475"/>
      <c r="L8" s="475"/>
      <c r="M8" s="475"/>
      <c r="N8" s="475"/>
      <c r="O8" s="475"/>
      <c r="P8" s="475"/>
      <c r="Q8" s="475"/>
    </row>
    <row r="9" spans="1:17" s="443" customFormat="1" ht="24" customHeight="1">
      <c r="A9" s="740">
        <v>3</v>
      </c>
      <c r="B9" s="625" t="s">
        <v>875</v>
      </c>
      <c r="C9" s="409"/>
      <c r="D9" s="410"/>
      <c r="E9" s="739">
        <f>SUM(E10:E11)</f>
        <v>3100.6299999999997</v>
      </c>
      <c r="F9" s="730"/>
      <c r="G9" s="623"/>
      <c r="H9" s="623"/>
      <c r="I9" s="475"/>
      <c r="J9" s="475"/>
      <c r="K9" s="475"/>
      <c r="L9" s="475"/>
      <c r="M9" s="475"/>
      <c r="N9" s="475"/>
      <c r="O9" s="475"/>
      <c r="P9" s="475"/>
      <c r="Q9" s="475"/>
    </row>
    <row r="10" spans="1:17" s="443" customFormat="1" ht="34.5" customHeight="1">
      <c r="A10" s="740" t="s">
        <v>60</v>
      </c>
      <c r="B10" s="625" t="s">
        <v>876</v>
      </c>
      <c r="C10" s="627" t="s">
        <v>877</v>
      </c>
      <c r="D10" s="628"/>
      <c r="E10" s="739">
        <v>619.553</v>
      </c>
      <c r="F10" s="730"/>
      <c r="G10" s="623"/>
      <c r="H10" s="623"/>
    </row>
    <row r="11" spans="1:17" s="443" customFormat="1" ht="33" customHeight="1">
      <c r="A11" s="740" t="s">
        <v>60</v>
      </c>
      <c r="B11" s="625" t="s">
        <v>878</v>
      </c>
      <c r="C11" s="627" t="s">
        <v>879</v>
      </c>
      <c r="D11" s="628"/>
      <c r="E11" s="739">
        <f>368.779+2112.298</f>
        <v>2481.0769999999998</v>
      </c>
      <c r="F11" s="730"/>
      <c r="G11" s="623"/>
      <c r="H11" s="623"/>
    </row>
    <row r="12" spans="1:17" s="443" customFormat="1" ht="24" customHeight="1">
      <c r="A12" s="624" t="s">
        <v>139</v>
      </c>
      <c r="B12" s="629" t="s">
        <v>756</v>
      </c>
      <c r="C12" s="470"/>
      <c r="D12" s="629"/>
      <c r="E12" s="731">
        <f>+E13+E14+E31+E50</f>
        <v>5885.3318129999998</v>
      </c>
      <c r="F12" s="731">
        <f>+F13+F14+F31+F50</f>
        <v>5840.8756999999996</v>
      </c>
      <c r="G12" s="623"/>
      <c r="H12" s="623"/>
      <c r="I12" s="475"/>
      <c r="J12" s="475"/>
      <c r="K12" s="475"/>
      <c r="L12" s="475"/>
      <c r="M12" s="475"/>
      <c r="N12" s="475"/>
      <c r="O12" s="475"/>
      <c r="P12" s="475"/>
      <c r="Q12" s="475"/>
    </row>
    <row r="13" spans="1:17" s="443" customFormat="1" ht="34.5" customHeight="1">
      <c r="A13" s="740">
        <v>1</v>
      </c>
      <c r="B13" s="630" t="s">
        <v>881</v>
      </c>
      <c r="C13" s="454" t="s">
        <v>882</v>
      </c>
      <c r="D13" s="630" t="s">
        <v>883</v>
      </c>
      <c r="E13" s="739">
        <v>124.32</v>
      </c>
      <c r="F13" s="739">
        <v>124.32</v>
      </c>
      <c r="G13" s="623"/>
      <c r="H13" s="623"/>
      <c r="I13" s="475"/>
      <c r="J13" s="475"/>
      <c r="K13" s="475"/>
      <c r="L13" s="475"/>
      <c r="M13" s="475"/>
      <c r="N13" s="475"/>
      <c r="O13" s="475"/>
      <c r="P13" s="475"/>
      <c r="Q13" s="475"/>
    </row>
    <row r="14" spans="1:17" s="443" customFormat="1" ht="54.75" customHeight="1">
      <c r="A14" s="740">
        <v>2</v>
      </c>
      <c r="B14" s="631" t="s">
        <v>884</v>
      </c>
      <c r="C14" s="454" t="s">
        <v>885</v>
      </c>
      <c r="D14" s="629"/>
      <c r="E14" s="739">
        <f>SUM(E15:E30)</f>
        <v>774.44099999999992</v>
      </c>
      <c r="F14" s="739">
        <f>SUM(F15:F30)</f>
        <v>774.44099999999992</v>
      </c>
      <c r="G14" s="623"/>
      <c r="H14" s="623"/>
      <c r="I14" s="475"/>
      <c r="J14" s="475"/>
      <c r="K14" s="475"/>
      <c r="L14" s="475"/>
      <c r="M14" s="475"/>
      <c r="N14" s="475"/>
      <c r="O14" s="475"/>
      <c r="P14" s="475"/>
      <c r="Q14" s="475"/>
    </row>
    <row r="15" spans="1:17" s="443" customFormat="1" ht="21" customHeight="1">
      <c r="A15" s="624"/>
      <c r="B15" s="630"/>
      <c r="C15" s="470"/>
      <c r="D15" s="632" t="s">
        <v>657</v>
      </c>
      <c r="E15" s="730">
        <v>6.4550000000000001</v>
      </c>
      <c r="F15" s="730">
        <f>+E15</f>
        <v>6.4550000000000001</v>
      </c>
      <c r="G15" s="623"/>
      <c r="H15" s="623"/>
      <c r="I15" s="475"/>
      <c r="J15" s="475"/>
      <c r="K15" s="475"/>
      <c r="L15" s="475"/>
      <c r="M15" s="475"/>
      <c r="N15" s="475"/>
      <c r="O15" s="475"/>
      <c r="P15" s="475"/>
      <c r="Q15" s="475"/>
    </row>
    <row r="16" spans="1:17" s="443" customFormat="1" ht="21" customHeight="1">
      <c r="A16" s="624"/>
      <c r="B16" s="630"/>
      <c r="C16" s="470"/>
      <c r="D16" s="632" t="s">
        <v>653</v>
      </c>
      <c r="E16" s="730">
        <v>13.05</v>
      </c>
      <c r="F16" s="730">
        <f t="shared" ref="F16:F30" si="0">+E16</f>
        <v>13.05</v>
      </c>
      <c r="G16" s="623"/>
      <c r="H16" s="623"/>
      <c r="I16" s="475"/>
      <c r="J16" s="475"/>
      <c r="K16" s="475"/>
      <c r="L16" s="475"/>
      <c r="M16" s="475"/>
      <c r="N16" s="475"/>
      <c r="O16" s="475"/>
      <c r="P16" s="475"/>
      <c r="Q16" s="475"/>
    </row>
    <row r="17" spans="1:17" s="443" customFormat="1" ht="21" customHeight="1">
      <c r="A17" s="624"/>
      <c r="B17" s="630"/>
      <c r="C17" s="470"/>
      <c r="D17" s="632" t="s">
        <v>663</v>
      </c>
      <c r="E17" s="730">
        <v>127.98999999999998</v>
      </c>
      <c r="F17" s="730">
        <f t="shared" si="0"/>
        <v>127.98999999999998</v>
      </c>
      <c r="G17" s="623"/>
      <c r="H17" s="623"/>
      <c r="I17" s="475"/>
      <c r="J17" s="475"/>
      <c r="K17" s="475"/>
      <c r="L17" s="475"/>
      <c r="M17" s="475"/>
      <c r="N17" s="475"/>
      <c r="O17" s="475"/>
      <c r="P17" s="475"/>
      <c r="Q17" s="475"/>
    </row>
    <row r="18" spans="1:17" s="443" customFormat="1" ht="21" customHeight="1">
      <c r="A18" s="624"/>
      <c r="B18" s="630"/>
      <c r="C18" s="470"/>
      <c r="D18" s="632" t="s">
        <v>654</v>
      </c>
      <c r="E18" s="730">
        <v>31.54</v>
      </c>
      <c r="F18" s="730">
        <f t="shared" si="0"/>
        <v>31.54</v>
      </c>
      <c r="G18" s="623"/>
      <c r="H18" s="623"/>
      <c r="I18" s="475"/>
      <c r="J18" s="475"/>
      <c r="K18" s="475"/>
      <c r="L18" s="475"/>
      <c r="M18" s="475"/>
      <c r="N18" s="475"/>
      <c r="O18" s="475"/>
      <c r="P18" s="475"/>
      <c r="Q18" s="475"/>
    </row>
    <row r="19" spans="1:17" s="443" customFormat="1" ht="21" customHeight="1">
      <c r="A19" s="624"/>
      <c r="B19" s="630"/>
      <c r="C19" s="470"/>
      <c r="D19" s="632" t="s">
        <v>664</v>
      </c>
      <c r="E19" s="730">
        <v>18.97</v>
      </c>
      <c r="F19" s="730">
        <f t="shared" si="0"/>
        <v>18.97</v>
      </c>
      <c r="G19" s="623"/>
      <c r="H19" s="623"/>
      <c r="I19" s="475"/>
      <c r="J19" s="475"/>
      <c r="K19" s="475"/>
      <c r="L19" s="475"/>
      <c r="M19" s="475"/>
      <c r="N19" s="475"/>
      <c r="O19" s="475"/>
      <c r="P19" s="475"/>
      <c r="Q19" s="475"/>
    </row>
    <row r="20" spans="1:17" s="443" customFormat="1" ht="21" customHeight="1">
      <c r="A20" s="624"/>
      <c r="B20" s="630"/>
      <c r="C20" s="470"/>
      <c r="D20" s="633" t="s">
        <v>656</v>
      </c>
      <c r="E20" s="730">
        <v>4.4450000000000003</v>
      </c>
      <c r="F20" s="730">
        <f t="shared" si="0"/>
        <v>4.4450000000000003</v>
      </c>
      <c r="G20" s="623"/>
      <c r="H20" s="623"/>
      <c r="I20" s="475"/>
      <c r="J20" s="475"/>
      <c r="K20" s="475"/>
      <c r="L20" s="475"/>
      <c r="M20" s="475"/>
      <c r="N20" s="475"/>
      <c r="O20" s="475"/>
      <c r="P20" s="475"/>
      <c r="Q20" s="475"/>
    </row>
    <row r="21" spans="1:17" s="443" customFormat="1" ht="21" customHeight="1">
      <c r="A21" s="624"/>
      <c r="B21" s="630"/>
      <c r="C21" s="470"/>
      <c r="D21" s="634" t="s">
        <v>622</v>
      </c>
      <c r="E21" s="730">
        <v>219.61999999999998</v>
      </c>
      <c r="F21" s="730">
        <f t="shared" si="0"/>
        <v>219.61999999999998</v>
      </c>
      <c r="G21" s="623"/>
      <c r="H21" s="623"/>
      <c r="I21" s="475"/>
      <c r="J21" s="475"/>
      <c r="K21" s="475"/>
      <c r="L21" s="475"/>
      <c r="M21" s="475"/>
      <c r="N21" s="475"/>
      <c r="O21" s="475"/>
      <c r="P21" s="475"/>
      <c r="Q21" s="475"/>
    </row>
    <row r="22" spans="1:17" s="443" customFormat="1" ht="21" customHeight="1">
      <c r="A22" s="624"/>
      <c r="B22" s="630"/>
      <c r="C22" s="470"/>
      <c r="D22" s="634" t="s">
        <v>658</v>
      </c>
      <c r="E22" s="730">
        <v>36.29</v>
      </c>
      <c r="F22" s="730">
        <f t="shared" si="0"/>
        <v>36.29</v>
      </c>
      <c r="G22" s="623"/>
      <c r="H22" s="623"/>
      <c r="I22" s="475"/>
      <c r="J22" s="475"/>
      <c r="K22" s="475"/>
      <c r="L22" s="475"/>
      <c r="M22" s="475"/>
      <c r="N22" s="475"/>
      <c r="O22" s="475"/>
      <c r="P22" s="475"/>
      <c r="Q22" s="475"/>
    </row>
    <row r="23" spans="1:17" s="443" customFormat="1" ht="21" customHeight="1">
      <c r="A23" s="624"/>
      <c r="B23" s="630"/>
      <c r="C23" s="470"/>
      <c r="D23" s="634" t="s">
        <v>886</v>
      </c>
      <c r="E23" s="730">
        <v>21.269999999999996</v>
      </c>
      <c r="F23" s="730">
        <f t="shared" si="0"/>
        <v>21.269999999999996</v>
      </c>
      <c r="G23" s="623"/>
      <c r="H23" s="623"/>
      <c r="I23" s="475"/>
      <c r="J23" s="475"/>
      <c r="K23" s="475"/>
      <c r="L23" s="475"/>
      <c r="M23" s="475"/>
      <c r="N23" s="475"/>
      <c r="O23" s="475"/>
      <c r="P23" s="475"/>
      <c r="Q23" s="475"/>
    </row>
    <row r="24" spans="1:17" s="443" customFormat="1" ht="21" customHeight="1">
      <c r="A24" s="624"/>
      <c r="B24" s="630"/>
      <c r="C24" s="470"/>
      <c r="D24" s="634" t="s">
        <v>665</v>
      </c>
      <c r="E24" s="730">
        <v>36.169999999999995</v>
      </c>
      <c r="F24" s="730">
        <f t="shared" si="0"/>
        <v>36.169999999999995</v>
      </c>
      <c r="G24" s="623"/>
      <c r="H24" s="623"/>
      <c r="I24" s="475"/>
      <c r="J24" s="475"/>
      <c r="K24" s="475"/>
      <c r="L24" s="475"/>
      <c r="M24" s="475"/>
      <c r="N24" s="475"/>
      <c r="O24" s="475"/>
      <c r="P24" s="475"/>
      <c r="Q24" s="475"/>
    </row>
    <row r="25" spans="1:17" s="443" customFormat="1" ht="21" customHeight="1">
      <c r="A25" s="624"/>
      <c r="B25" s="630"/>
      <c r="C25" s="470"/>
      <c r="D25" s="634" t="s">
        <v>662</v>
      </c>
      <c r="E25" s="730">
        <v>104.723</v>
      </c>
      <c r="F25" s="730">
        <f t="shared" si="0"/>
        <v>104.723</v>
      </c>
      <c r="G25" s="623"/>
      <c r="H25" s="623"/>
      <c r="I25" s="475"/>
      <c r="J25" s="475"/>
      <c r="K25" s="475"/>
      <c r="L25" s="475"/>
      <c r="M25" s="475"/>
      <c r="N25" s="475"/>
      <c r="O25" s="475"/>
      <c r="P25" s="475"/>
      <c r="Q25" s="475"/>
    </row>
    <row r="26" spans="1:17" s="443" customFormat="1" ht="21" customHeight="1">
      <c r="A26" s="624"/>
      <c r="B26" s="630"/>
      <c r="C26" s="470"/>
      <c r="D26" s="634" t="s">
        <v>660</v>
      </c>
      <c r="E26" s="730">
        <v>69.284000000000006</v>
      </c>
      <c r="F26" s="730">
        <f t="shared" si="0"/>
        <v>69.284000000000006</v>
      </c>
      <c r="G26" s="623"/>
      <c r="H26" s="623"/>
      <c r="I26" s="475"/>
      <c r="J26" s="475"/>
      <c r="K26" s="475"/>
      <c r="L26" s="475"/>
      <c r="M26" s="475"/>
      <c r="N26" s="475"/>
      <c r="O26" s="475"/>
      <c r="P26" s="475"/>
      <c r="Q26" s="475"/>
    </row>
    <row r="27" spans="1:17" s="443" customFormat="1" ht="21" customHeight="1">
      <c r="A27" s="624"/>
      <c r="B27" s="630"/>
      <c r="C27" s="470"/>
      <c r="D27" s="634" t="s">
        <v>659</v>
      </c>
      <c r="E27" s="730">
        <v>15.254999999999999</v>
      </c>
      <c r="F27" s="730">
        <f t="shared" si="0"/>
        <v>15.254999999999999</v>
      </c>
      <c r="G27" s="623"/>
      <c r="H27" s="623"/>
      <c r="I27" s="475"/>
      <c r="J27" s="475"/>
      <c r="K27" s="475"/>
      <c r="L27" s="475"/>
      <c r="M27" s="475"/>
      <c r="N27" s="475"/>
      <c r="O27" s="475"/>
      <c r="P27" s="475"/>
      <c r="Q27" s="475"/>
    </row>
    <row r="28" spans="1:17" s="443" customFormat="1" ht="21" customHeight="1">
      <c r="A28" s="624"/>
      <c r="B28" s="630"/>
      <c r="C28" s="470"/>
      <c r="D28" s="634" t="s">
        <v>661</v>
      </c>
      <c r="E28" s="730">
        <v>20.13</v>
      </c>
      <c r="F28" s="730">
        <f t="shared" si="0"/>
        <v>20.13</v>
      </c>
      <c r="G28" s="623"/>
      <c r="H28" s="623"/>
      <c r="I28" s="475"/>
      <c r="J28" s="475"/>
      <c r="K28" s="475"/>
      <c r="L28" s="475"/>
      <c r="M28" s="475"/>
      <c r="N28" s="475"/>
      <c r="O28" s="475"/>
      <c r="P28" s="475"/>
      <c r="Q28" s="475"/>
    </row>
    <row r="29" spans="1:17" s="443" customFormat="1" ht="21" customHeight="1">
      <c r="A29" s="624"/>
      <c r="B29" s="630"/>
      <c r="C29" s="470"/>
      <c r="D29" s="634" t="s">
        <v>887</v>
      </c>
      <c r="E29" s="730">
        <v>27.562999999999999</v>
      </c>
      <c r="F29" s="730">
        <f t="shared" si="0"/>
        <v>27.562999999999999</v>
      </c>
      <c r="G29" s="623"/>
      <c r="H29" s="623"/>
      <c r="I29" s="475"/>
      <c r="J29" s="475"/>
      <c r="K29" s="475"/>
      <c r="L29" s="475"/>
      <c r="M29" s="475"/>
      <c r="N29" s="475"/>
      <c r="O29" s="475"/>
      <c r="P29" s="475"/>
      <c r="Q29" s="475"/>
    </row>
    <row r="30" spans="1:17" s="443" customFormat="1" ht="21" customHeight="1">
      <c r="A30" s="624"/>
      <c r="B30" s="630"/>
      <c r="C30" s="470"/>
      <c r="D30" s="634" t="s">
        <v>888</v>
      </c>
      <c r="E30" s="730">
        <v>21.686</v>
      </c>
      <c r="F30" s="730">
        <f t="shared" si="0"/>
        <v>21.686</v>
      </c>
      <c r="G30" s="623"/>
      <c r="H30" s="623"/>
      <c r="I30" s="475"/>
      <c r="J30" s="475"/>
      <c r="K30" s="475"/>
      <c r="L30" s="475"/>
      <c r="M30" s="475"/>
      <c r="N30" s="475"/>
      <c r="O30" s="475"/>
      <c r="P30" s="475"/>
      <c r="Q30" s="475"/>
    </row>
    <row r="31" spans="1:17" s="443" customFormat="1" ht="54" customHeight="1">
      <c r="A31" s="624">
        <v>3</v>
      </c>
      <c r="B31" s="631" t="s">
        <v>884</v>
      </c>
      <c r="C31" s="454" t="s">
        <v>889</v>
      </c>
      <c r="D31" s="629"/>
      <c r="E31" s="731">
        <f>SUM(E32:E49)</f>
        <v>2435.4469999999997</v>
      </c>
      <c r="F31" s="731">
        <f>SUM(F32:F49)</f>
        <v>2431.1549999999997</v>
      </c>
      <c r="G31" s="623"/>
      <c r="H31" s="623"/>
      <c r="I31" s="475"/>
      <c r="J31" s="475"/>
      <c r="K31" s="475"/>
      <c r="L31" s="475"/>
      <c r="M31" s="475"/>
      <c r="N31" s="475"/>
      <c r="O31" s="475"/>
      <c r="P31" s="475"/>
      <c r="Q31" s="475"/>
    </row>
    <row r="32" spans="1:17" s="641" customFormat="1" ht="24.75" customHeight="1">
      <c r="A32" s="635"/>
      <c r="B32" s="636"/>
      <c r="C32" s="637"/>
      <c r="D32" s="638" t="s">
        <v>657</v>
      </c>
      <c r="E32" s="732">
        <v>22.408000000000001</v>
      </c>
      <c r="F32" s="730">
        <f>+E32</f>
        <v>22.408000000000001</v>
      </c>
      <c r="G32" s="639"/>
      <c r="H32" s="639"/>
      <c r="I32" s="640"/>
      <c r="J32" s="640"/>
      <c r="K32" s="640"/>
      <c r="L32" s="640"/>
      <c r="M32" s="640"/>
      <c r="N32" s="640"/>
      <c r="O32" s="640"/>
      <c r="P32" s="640"/>
      <c r="Q32" s="640"/>
    </row>
    <row r="33" spans="1:17" s="641" customFormat="1" ht="24.75" customHeight="1">
      <c r="A33" s="635"/>
      <c r="B33" s="636"/>
      <c r="C33" s="637"/>
      <c r="D33" s="638" t="s">
        <v>653</v>
      </c>
      <c r="E33" s="732">
        <f>193.078+4.084</f>
        <v>197.16200000000001</v>
      </c>
      <c r="F33" s="730">
        <f t="shared" ref="F33:F49" si="1">+E33</f>
        <v>197.16200000000001</v>
      </c>
      <c r="G33" s="639"/>
      <c r="H33" s="639"/>
      <c r="I33" s="640"/>
      <c r="J33" s="640"/>
      <c r="K33" s="640"/>
      <c r="L33" s="640"/>
      <c r="M33" s="640"/>
      <c r="N33" s="640"/>
      <c r="O33" s="640"/>
      <c r="P33" s="640"/>
      <c r="Q33" s="640"/>
    </row>
    <row r="34" spans="1:17" s="641" customFormat="1" ht="24.75" customHeight="1">
      <c r="A34" s="635"/>
      <c r="B34" s="636"/>
      <c r="C34" s="637"/>
      <c r="D34" s="638" t="s">
        <v>655</v>
      </c>
      <c r="E34" s="732">
        <v>10.83</v>
      </c>
      <c r="F34" s="730">
        <f t="shared" si="1"/>
        <v>10.83</v>
      </c>
      <c r="G34" s="639"/>
      <c r="H34" s="639"/>
      <c r="I34" s="640"/>
      <c r="J34" s="640"/>
      <c r="K34" s="640"/>
      <c r="L34" s="640"/>
      <c r="M34" s="640"/>
      <c r="N34" s="640"/>
      <c r="O34" s="640"/>
      <c r="P34" s="640"/>
      <c r="Q34" s="640"/>
    </row>
    <row r="35" spans="1:17" s="641" customFormat="1" ht="24.75" customHeight="1">
      <c r="A35" s="635"/>
      <c r="B35" s="636"/>
      <c r="C35" s="637"/>
      <c r="D35" s="638" t="s">
        <v>657</v>
      </c>
      <c r="E35" s="732">
        <v>152.57</v>
      </c>
      <c r="F35" s="730">
        <f t="shared" si="1"/>
        <v>152.57</v>
      </c>
      <c r="G35" s="639"/>
      <c r="H35" s="639"/>
      <c r="I35" s="640"/>
      <c r="J35" s="640"/>
      <c r="K35" s="640"/>
      <c r="L35" s="640"/>
      <c r="M35" s="640"/>
      <c r="N35" s="640"/>
      <c r="O35" s="640"/>
      <c r="P35" s="640"/>
      <c r="Q35" s="640"/>
    </row>
    <row r="36" spans="1:17" s="641" customFormat="1" ht="24.75" customHeight="1">
      <c r="A36" s="635"/>
      <c r="B36" s="636"/>
      <c r="C36" s="637"/>
      <c r="D36" s="638" t="s">
        <v>663</v>
      </c>
      <c r="E36" s="732">
        <f>68.058+37.6</f>
        <v>105.65800000000002</v>
      </c>
      <c r="F36" s="730">
        <f t="shared" si="1"/>
        <v>105.65800000000002</v>
      </c>
      <c r="G36" s="639"/>
      <c r="H36" s="639"/>
      <c r="I36" s="640"/>
      <c r="J36" s="640"/>
      <c r="K36" s="640"/>
      <c r="L36" s="640"/>
      <c r="M36" s="640"/>
      <c r="N36" s="640"/>
      <c r="O36" s="640"/>
      <c r="P36" s="640"/>
      <c r="Q36" s="640"/>
    </row>
    <row r="37" spans="1:17" s="641" customFormat="1" ht="24.75" customHeight="1">
      <c r="A37" s="635"/>
      <c r="B37" s="636"/>
      <c r="C37" s="637"/>
      <c r="D37" s="638" t="s">
        <v>654</v>
      </c>
      <c r="E37" s="732">
        <f>30.02+24.896</f>
        <v>54.915999999999997</v>
      </c>
      <c r="F37" s="730">
        <f t="shared" si="1"/>
        <v>54.915999999999997</v>
      </c>
      <c r="G37" s="639"/>
      <c r="H37" s="639"/>
      <c r="I37" s="640"/>
      <c r="J37" s="640"/>
      <c r="K37" s="640"/>
      <c r="L37" s="640"/>
      <c r="M37" s="640"/>
      <c r="N37" s="640"/>
      <c r="O37" s="640"/>
      <c r="P37" s="640"/>
      <c r="Q37" s="640"/>
    </row>
    <row r="38" spans="1:17" s="641" customFormat="1" ht="24.75" customHeight="1">
      <c r="A38" s="635"/>
      <c r="B38" s="636"/>
      <c r="C38" s="637"/>
      <c r="D38" s="638" t="s">
        <v>664</v>
      </c>
      <c r="E38" s="732">
        <f>284.62+3.2</f>
        <v>287.82</v>
      </c>
      <c r="F38" s="730">
        <f t="shared" si="1"/>
        <v>287.82</v>
      </c>
      <c r="G38" s="639"/>
      <c r="H38" s="639"/>
      <c r="I38" s="640"/>
      <c r="J38" s="640"/>
      <c r="K38" s="640"/>
      <c r="L38" s="640"/>
      <c r="M38" s="640"/>
      <c r="N38" s="640"/>
      <c r="O38" s="640"/>
      <c r="P38" s="640"/>
      <c r="Q38" s="640"/>
    </row>
    <row r="39" spans="1:17" s="641" customFormat="1" ht="24.75" customHeight="1">
      <c r="A39" s="635"/>
      <c r="B39" s="636"/>
      <c r="C39" s="637"/>
      <c r="D39" s="642" t="s">
        <v>656</v>
      </c>
      <c r="E39" s="732">
        <f>50.92+16.019</f>
        <v>66.938999999999993</v>
      </c>
      <c r="F39" s="730">
        <f t="shared" si="1"/>
        <v>66.938999999999993</v>
      </c>
      <c r="G39" s="639"/>
      <c r="H39" s="639"/>
      <c r="I39" s="640"/>
      <c r="J39" s="640"/>
      <c r="K39" s="640"/>
      <c r="L39" s="640"/>
      <c r="M39" s="640"/>
      <c r="N39" s="640"/>
      <c r="O39" s="640"/>
      <c r="P39" s="640"/>
      <c r="Q39" s="640"/>
    </row>
    <row r="40" spans="1:17" s="641" customFormat="1" ht="24.75" customHeight="1">
      <c r="A40" s="635"/>
      <c r="B40" s="636"/>
      <c r="C40" s="637"/>
      <c r="D40" s="643" t="s">
        <v>622</v>
      </c>
      <c r="E40" s="732">
        <f>223.554+40.576</f>
        <v>264.13</v>
      </c>
      <c r="F40" s="730">
        <f t="shared" si="1"/>
        <v>264.13</v>
      </c>
      <c r="G40" s="639"/>
      <c r="H40" s="639"/>
      <c r="I40" s="640"/>
      <c r="J40" s="640"/>
      <c r="K40" s="640"/>
      <c r="L40" s="640"/>
      <c r="M40" s="640"/>
      <c r="N40" s="640"/>
      <c r="O40" s="640"/>
      <c r="P40" s="640"/>
      <c r="Q40" s="640"/>
    </row>
    <row r="41" spans="1:17" s="641" customFormat="1" ht="24.75" customHeight="1">
      <c r="A41" s="635"/>
      <c r="B41" s="636"/>
      <c r="C41" s="637"/>
      <c r="D41" s="643" t="s">
        <v>658</v>
      </c>
      <c r="E41" s="732">
        <f>18.164+9.4816</f>
        <v>27.645600000000002</v>
      </c>
      <c r="F41" s="730">
        <f t="shared" si="1"/>
        <v>27.645600000000002</v>
      </c>
      <c r="G41" s="639"/>
      <c r="H41" s="639"/>
      <c r="I41" s="640"/>
      <c r="J41" s="640"/>
      <c r="K41" s="640"/>
      <c r="L41" s="640"/>
      <c r="M41" s="640"/>
      <c r="N41" s="640"/>
      <c r="O41" s="640"/>
      <c r="P41" s="640"/>
      <c r="Q41" s="640"/>
    </row>
    <row r="42" spans="1:17" s="641" customFormat="1" ht="24.75" customHeight="1">
      <c r="A42" s="635"/>
      <c r="B42" s="636"/>
      <c r="C42" s="637"/>
      <c r="D42" s="643" t="s">
        <v>886</v>
      </c>
      <c r="E42" s="732">
        <v>62.966000000000001</v>
      </c>
      <c r="F42" s="730">
        <f t="shared" si="1"/>
        <v>62.966000000000001</v>
      </c>
      <c r="G42" s="639"/>
      <c r="H42" s="639"/>
      <c r="I42" s="640"/>
      <c r="J42" s="640"/>
      <c r="K42" s="640"/>
      <c r="L42" s="640"/>
      <c r="M42" s="640"/>
      <c r="N42" s="640"/>
      <c r="O42" s="640"/>
      <c r="P42" s="640"/>
      <c r="Q42" s="640"/>
    </row>
    <row r="43" spans="1:17" s="641" customFormat="1" ht="24.75" customHeight="1">
      <c r="A43" s="635"/>
      <c r="B43" s="636"/>
      <c r="C43" s="637"/>
      <c r="D43" s="643" t="s">
        <v>665</v>
      </c>
      <c r="E43" s="732">
        <v>9.984</v>
      </c>
      <c r="F43" s="730">
        <f t="shared" si="1"/>
        <v>9.984</v>
      </c>
      <c r="G43" s="639"/>
      <c r="H43" s="639"/>
      <c r="I43" s="640"/>
      <c r="J43" s="640"/>
      <c r="K43" s="640"/>
      <c r="L43" s="640"/>
      <c r="M43" s="640"/>
      <c r="N43" s="640"/>
      <c r="O43" s="640"/>
      <c r="P43" s="640"/>
      <c r="Q43" s="640"/>
    </row>
    <row r="44" spans="1:17" s="641" customFormat="1" ht="24.75" customHeight="1">
      <c r="A44" s="635"/>
      <c r="B44" s="636"/>
      <c r="C44" s="637"/>
      <c r="D44" s="643" t="s">
        <v>662</v>
      </c>
      <c r="E44" s="732">
        <f>405.422+132.3744</f>
        <v>537.79640000000006</v>
      </c>
      <c r="F44" s="730">
        <f t="shared" si="1"/>
        <v>537.79640000000006</v>
      </c>
      <c r="G44" s="639"/>
      <c r="H44" s="639"/>
      <c r="I44" s="640"/>
      <c r="J44" s="640"/>
      <c r="K44" s="640"/>
      <c r="L44" s="640"/>
      <c r="M44" s="640"/>
      <c r="N44" s="640"/>
      <c r="O44" s="640"/>
      <c r="P44" s="640"/>
      <c r="Q44" s="640"/>
    </row>
    <row r="45" spans="1:17" s="641" customFormat="1" ht="24.75" customHeight="1">
      <c r="A45" s="635"/>
      <c r="B45" s="636"/>
      <c r="C45" s="637"/>
      <c r="D45" s="643" t="s">
        <v>660</v>
      </c>
      <c r="E45" s="732">
        <f>169.176+19.776</f>
        <v>188.952</v>
      </c>
      <c r="F45" s="730">
        <f t="shared" si="1"/>
        <v>188.952</v>
      </c>
      <c r="G45" s="639"/>
      <c r="H45" s="639"/>
      <c r="I45" s="640"/>
      <c r="J45" s="640"/>
      <c r="K45" s="640"/>
      <c r="L45" s="640"/>
      <c r="M45" s="640"/>
      <c r="N45" s="640"/>
      <c r="O45" s="640"/>
      <c r="P45" s="640"/>
      <c r="Q45" s="640"/>
    </row>
    <row r="46" spans="1:17" s="641" customFormat="1" ht="24.75" customHeight="1">
      <c r="A46" s="635"/>
      <c r="B46" s="636"/>
      <c r="C46" s="637"/>
      <c r="D46" s="643" t="s">
        <v>659</v>
      </c>
      <c r="E46" s="732">
        <v>41.116</v>
      </c>
      <c r="F46" s="730">
        <f t="shared" si="1"/>
        <v>41.116</v>
      </c>
      <c r="G46" s="639"/>
      <c r="H46" s="639"/>
      <c r="I46" s="640"/>
      <c r="J46" s="640"/>
      <c r="K46" s="640"/>
      <c r="L46" s="640"/>
      <c r="M46" s="640"/>
      <c r="N46" s="640"/>
      <c r="O46" s="640"/>
      <c r="P46" s="640"/>
      <c r="Q46" s="640"/>
    </row>
    <row r="47" spans="1:17" s="641" customFormat="1" ht="24.75" customHeight="1">
      <c r="A47" s="635"/>
      <c r="B47" s="636"/>
      <c r="C47" s="637"/>
      <c r="D47" s="643" t="s">
        <v>661</v>
      </c>
      <c r="E47" s="732">
        <f>270.446+15.932</f>
        <v>286.37800000000004</v>
      </c>
      <c r="F47" s="730">
        <f>+E47-4.092-0.2</f>
        <v>282.08600000000007</v>
      </c>
      <c r="G47" s="639"/>
      <c r="H47" s="639"/>
      <c r="I47" s="640"/>
      <c r="J47" s="640"/>
      <c r="K47" s="640"/>
      <c r="L47" s="640"/>
      <c r="M47" s="640"/>
      <c r="N47" s="640"/>
      <c r="O47" s="640"/>
      <c r="P47" s="640"/>
      <c r="Q47" s="640"/>
    </row>
    <row r="48" spans="1:17" s="641" customFormat="1" ht="24.75" customHeight="1">
      <c r="A48" s="635"/>
      <c r="B48" s="636"/>
      <c r="C48" s="637"/>
      <c r="D48" s="643" t="s">
        <v>887</v>
      </c>
      <c r="E48" s="732">
        <f>30.704+31.872</f>
        <v>62.576000000000001</v>
      </c>
      <c r="F48" s="730">
        <f t="shared" si="1"/>
        <v>62.576000000000001</v>
      </c>
      <c r="G48" s="639"/>
      <c r="H48" s="639"/>
      <c r="I48" s="644"/>
      <c r="J48" s="640"/>
      <c r="K48" s="640"/>
      <c r="L48" s="640"/>
      <c r="M48" s="640"/>
      <c r="N48" s="640"/>
      <c r="O48" s="640"/>
      <c r="P48" s="640"/>
      <c r="Q48" s="640"/>
    </row>
    <row r="49" spans="1:17" s="641" customFormat="1" ht="24.75" customHeight="1">
      <c r="A49" s="635"/>
      <c r="B49" s="636"/>
      <c r="C49" s="637"/>
      <c r="D49" s="643" t="s">
        <v>888</v>
      </c>
      <c r="E49" s="732">
        <f>55.024+0.576</f>
        <v>55.6</v>
      </c>
      <c r="F49" s="730">
        <f t="shared" si="1"/>
        <v>55.6</v>
      </c>
      <c r="G49" s="639"/>
      <c r="H49" s="639"/>
      <c r="I49" s="640"/>
      <c r="J49" s="640"/>
      <c r="K49" s="640"/>
      <c r="L49" s="640"/>
      <c r="M49" s="640"/>
      <c r="N49" s="640"/>
      <c r="O49" s="640"/>
      <c r="P49" s="640"/>
      <c r="Q49" s="640"/>
    </row>
    <row r="50" spans="1:17" s="475" customFormat="1" ht="24" customHeight="1">
      <c r="A50" s="624">
        <v>4</v>
      </c>
      <c r="B50" s="629" t="s">
        <v>191</v>
      </c>
      <c r="C50" s="470"/>
      <c r="D50" s="629"/>
      <c r="E50" s="731">
        <f>SUM(E51:E59)</f>
        <v>2551.1238130000002</v>
      </c>
      <c r="F50" s="731">
        <f>SUM(F51:F59)</f>
        <v>2510.9596999999999</v>
      </c>
      <c r="G50" s="645"/>
      <c r="H50" s="646"/>
    </row>
    <row r="51" spans="1:17" s="475" customFormat="1" ht="37.5" customHeight="1">
      <c r="A51" s="624" t="s">
        <v>71</v>
      </c>
      <c r="B51" s="631" t="s">
        <v>890</v>
      </c>
      <c r="C51" s="454" t="s">
        <v>891</v>
      </c>
      <c r="D51" s="2015" t="s">
        <v>892</v>
      </c>
      <c r="E51" s="730">
        <v>95.429199999999994</v>
      </c>
      <c r="F51" s="730">
        <f>+E51</f>
        <v>95.429199999999994</v>
      </c>
      <c r="G51" s="647"/>
      <c r="H51" s="646"/>
    </row>
    <row r="52" spans="1:17" s="438" customFormat="1" ht="37.5" customHeight="1">
      <c r="A52" s="624" t="s">
        <v>71</v>
      </c>
      <c r="B52" s="631" t="s">
        <v>671</v>
      </c>
      <c r="C52" s="1994" t="s">
        <v>893</v>
      </c>
      <c r="D52" s="2015"/>
      <c r="E52" s="733">
        <v>120</v>
      </c>
      <c r="F52" s="730">
        <f>+E52-3.0354</f>
        <v>116.9646</v>
      </c>
      <c r="G52" s="647"/>
    </row>
    <row r="53" spans="1:17" s="443" customFormat="1" ht="37.5" customHeight="1">
      <c r="A53" s="624" t="s">
        <v>71</v>
      </c>
      <c r="B53" s="648" t="s">
        <v>673</v>
      </c>
      <c r="C53" s="1994"/>
      <c r="D53" s="2015"/>
      <c r="E53" s="734">
        <v>120</v>
      </c>
      <c r="F53" s="730">
        <f>+E53-0.5857</f>
        <v>119.4143</v>
      </c>
      <c r="G53" s="647"/>
    </row>
    <row r="54" spans="1:17" s="443" customFormat="1" ht="37.5" customHeight="1">
      <c r="A54" s="624" t="s">
        <v>71</v>
      </c>
      <c r="B54" s="649" t="s">
        <v>676</v>
      </c>
      <c r="C54" s="1994"/>
      <c r="D54" s="2015"/>
      <c r="E54" s="734">
        <v>600</v>
      </c>
      <c r="F54" s="730">
        <f>+E54-6.0184</f>
        <v>593.98159999999996</v>
      </c>
      <c r="G54" s="647"/>
    </row>
    <row r="55" spans="1:17" s="443" customFormat="1" ht="37.5" customHeight="1">
      <c r="A55" s="624" t="s">
        <v>71</v>
      </c>
      <c r="B55" s="649" t="s">
        <v>674</v>
      </c>
      <c r="C55" s="1994"/>
      <c r="D55" s="2015"/>
      <c r="E55" s="734">
        <v>66.369033000000002</v>
      </c>
      <c r="F55" s="730">
        <f>+E55-0.494233</f>
        <v>65.874800000000008</v>
      </c>
      <c r="G55" s="647"/>
    </row>
    <row r="56" spans="1:17" s="443" customFormat="1" ht="37.5" customHeight="1">
      <c r="A56" s="624" t="s">
        <v>71</v>
      </c>
      <c r="B56" s="649" t="s">
        <v>678</v>
      </c>
      <c r="C56" s="1994"/>
      <c r="D56" s="2015"/>
      <c r="E56" s="734">
        <v>399.32558</v>
      </c>
      <c r="F56" s="730">
        <f>+E56-0.56828</f>
        <v>398.75729999999999</v>
      </c>
      <c r="G56" s="647"/>
    </row>
    <row r="57" spans="1:17" s="443" customFormat="1" ht="37.5" customHeight="1">
      <c r="A57" s="624" t="s">
        <v>71</v>
      </c>
      <c r="B57" s="649" t="s">
        <v>675</v>
      </c>
      <c r="C57" s="1994"/>
      <c r="D57" s="2015"/>
      <c r="E57" s="733">
        <v>250</v>
      </c>
      <c r="F57" s="730">
        <f>+E57-0.624</f>
        <v>249.376</v>
      </c>
      <c r="G57" s="647"/>
    </row>
    <row r="58" spans="1:17" s="443" customFormat="1" ht="37.5" customHeight="1">
      <c r="A58" s="624" t="s">
        <v>71</v>
      </c>
      <c r="B58" s="650" t="s">
        <v>677</v>
      </c>
      <c r="C58" s="1994"/>
      <c r="D58" s="2015"/>
      <c r="E58" s="733">
        <v>450</v>
      </c>
      <c r="F58" s="730">
        <f>+E58-11.5928</f>
        <v>438.40719999999999</v>
      </c>
      <c r="G58" s="647"/>
    </row>
    <row r="59" spans="1:17" s="443" customFormat="1" ht="37.5" customHeight="1">
      <c r="A59" s="624" t="s">
        <v>71</v>
      </c>
      <c r="B59" s="631" t="s">
        <v>679</v>
      </c>
      <c r="C59" s="1994"/>
      <c r="D59" s="2015"/>
      <c r="E59" s="733">
        <v>450</v>
      </c>
      <c r="F59" s="730">
        <f>+E59-17.2453</f>
        <v>432.75470000000001</v>
      </c>
      <c r="G59" s="647"/>
    </row>
    <row r="60" spans="1:17" s="653" customFormat="1" ht="27.75" customHeight="1">
      <c r="A60" s="651" t="s">
        <v>62</v>
      </c>
      <c r="B60" s="652" t="s">
        <v>894</v>
      </c>
      <c r="C60" s="652"/>
      <c r="D60" s="652"/>
      <c r="E60" s="735">
        <f>+E6-F12</f>
        <v>3360.9342999999999</v>
      </c>
      <c r="F60" s="736"/>
    </row>
    <row r="61" spans="1:17" s="443" customFormat="1" ht="27.75" customHeight="1">
      <c r="A61" s="654"/>
      <c r="B61" s="481" t="s">
        <v>895</v>
      </c>
      <c r="C61" s="477"/>
      <c r="D61" s="477"/>
      <c r="E61" s="672">
        <f>+E60-E62-E63</f>
        <v>3311.0122999999999</v>
      </c>
      <c r="F61" s="737"/>
    </row>
    <row r="62" spans="1:17" s="443" customFormat="1" ht="27.75" customHeight="1">
      <c r="A62" s="655"/>
      <c r="B62" s="656" t="s">
        <v>896</v>
      </c>
      <c r="C62" s="477"/>
      <c r="D62" s="477"/>
      <c r="E62" s="672">
        <v>45.63</v>
      </c>
      <c r="F62" s="737"/>
    </row>
    <row r="63" spans="1:17" s="443" customFormat="1" ht="27.75" customHeight="1">
      <c r="A63" s="657"/>
      <c r="B63" s="656" t="s">
        <v>897</v>
      </c>
      <c r="C63" s="658"/>
      <c r="D63" s="658"/>
      <c r="E63" s="673">
        <v>4.2919999999999998</v>
      </c>
      <c r="F63" s="738"/>
    </row>
    <row r="64" spans="1:17">
      <c r="E64" s="659"/>
    </row>
    <row r="65" spans="1:9" s="421" customFormat="1" ht="15.75">
      <c r="A65" s="398"/>
      <c r="B65" s="28"/>
      <c r="C65" s="1778" t="s">
        <v>686</v>
      </c>
      <c r="D65" s="1778"/>
      <c r="E65" s="1778"/>
      <c r="F65" s="1778"/>
      <c r="G65" s="1778"/>
      <c r="H65" s="484"/>
    </row>
    <row r="66" spans="1:9" ht="18.75">
      <c r="A66" s="1779" t="s">
        <v>382</v>
      </c>
      <c r="B66" s="1779"/>
      <c r="C66" s="1779" t="s">
        <v>532</v>
      </c>
      <c r="D66" s="1779"/>
      <c r="E66" s="1779"/>
      <c r="F66" s="1779"/>
      <c r="G66" s="1779"/>
      <c r="H66" s="485"/>
    </row>
    <row r="67" spans="1:9" ht="15.75">
      <c r="A67" s="1778" t="s">
        <v>383</v>
      </c>
      <c r="B67" s="1778"/>
      <c r="C67" s="1778" t="s">
        <v>141</v>
      </c>
      <c r="D67" s="1778"/>
      <c r="E67" s="1778"/>
      <c r="F67" s="1778"/>
      <c r="G67" s="1778"/>
      <c r="H67" s="668"/>
      <c r="I67" s="668"/>
    </row>
    <row r="68" spans="1:9" ht="15">
      <c r="A68" s="28"/>
      <c r="B68" s="28"/>
      <c r="C68" s="215"/>
      <c r="D68" s="28"/>
      <c r="E68" s="28"/>
      <c r="F68" s="28"/>
    </row>
    <row r="69" spans="1:9" ht="15">
      <c r="A69" s="28"/>
      <c r="B69" s="28"/>
      <c r="C69" s="215"/>
      <c r="D69" s="28"/>
      <c r="E69" s="28"/>
      <c r="F69" s="28"/>
    </row>
    <row r="70" spans="1:9" ht="15">
      <c r="A70" s="28"/>
      <c r="B70" s="28"/>
      <c r="C70" s="215"/>
      <c r="D70" s="28"/>
      <c r="E70" s="28"/>
      <c r="F70" s="28"/>
    </row>
    <row r="71" spans="1:9" ht="30" customHeight="1">
      <c r="A71" s="28"/>
      <c r="B71" s="28"/>
      <c r="C71" s="215"/>
      <c r="D71" s="28"/>
      <c r="E71" s="28"/>
      <c r="F71" s="28"/>
    </row>
    <row r="72" spans="1:9" ht="15">
      <c r="A72" s="28"/>
      <c r="B72" s="28"/>
      <c r="C72" s="215"/>
      <c r="D72" s="28"/>
      <c r="E72" s="28"/>
      <c r="F72" s="28"/>
    </row>
    <row r="73" spans="1:9" ht="15">
      <c r="A73" s="28"/>
      <c r="B73" s="28"/>
      <c r="C73" s="215"/>
      <c r="D73" s="28"/>
      <c r="E73" s="28"/>
      <c r="F73" s="28"/>
    </row>
    <row r="74" spans="1:9" ht="18.75">
      <c r="A74" s="1983" t="s">
        <v>488</v>
      </c>
      <c r="B74" s="1983"/>
      <c r="C74" s="1983" t="s">
        <v>513</v>
      </c>
      <c r="D74" s="1983"/>
      <c r="E74" s="1983"/>
      <c r="F74" s="1983"/>
      <c r="G74" s="1983"/>
    </row>
    <row r="75" spans="1:9">
      <c r="H75" s="487"/>
    </row>
  </sheetData>
  <mergeCells count="12">
    <mergeCell ref="A74:B74"/>
    <mergeCell ref="C74:G74"/>
    <mergeCell ref="E1:F1"/>
    <mergeCell ref="A66:B66"/>
    <mergeCell ref="C66:G66"/>
    <mergeCell ref="A67:B67"/>
    <mergeCell ref="C67:G67"/>
    <mergeCell ref="C65:G65"/>
    <mergeCell ref="E3:F3"/>
    <mergeCell ref="D51:D59"/>
    <mergeCell ref="C52:C59"/>
    <mergeCell ref="A2:F2"/>
  </mergeCells>
  <pageMargins left="0.26" right="0.16" top="0.5" bottom="0.21" header="0.3" footer="0.2"/>
  <pageSetup paperSize="9" orientation="landscape"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5"/>
  <dimension ref="A1:H45"/>
  <sheetViews>
    <sheetView topLeftCell="A4" workbookViewId="0">
      <selection activeCell="K26" sqref="K26"/>
    </sheetView>
  </sheetViews>
  <sheetFormatPr defaultRowHeight="15"/>
  <cols>
    <col min="1" max="1" width="6" style="757" customWidth="1"/>
    <col min="2" max="2" width="43.7109375" style="757" customWidth="1"/>
    <col min="3" max="3" width="44.5703125" style="748" customWidth="1"/>
    <col min="4" max="4" width="7" style="748" hidden="1" customWidth="1"/>
    <col min="5" max="5" width="26.28515625" style="756" customWidth="1"/>
    <col min="6" max="227" width="9.28515625" style="757"/>
    <col min="228" max="228" width="3" style="757" customWidth="1"/>
    <col min="229" max="229" width="9.28515625" style="757" customWidth="1"/>
    <col min="230" max="230" width="63.42578125" style="757" customWidth="1"/>
    <col min="231" max="231" width="23.7109375" style="757" customWidth="1"/>
    <col min="232" max="232" width="19.7109375" style="757" bestFit="1" customWidth="1"/>
    <col min="233" max="233" width="13.7109375" style="757" customWidth="1"/>
    <col min="234" max="483" width="9.28515625" style="757"/>
    <col min="484" max="484" width="3" style="757" customWidth="1"/>
    <col min="485" max="485" width="9.28515625" style="757" customWidth="1"/>
    <col min="486" max="486" width="63.42578125" style="757" customWidth="1"/>
    <col min="487" max="487" width="23.7109375" style="757" customWidth="1"/>
    <col min="488" max="488" width="19.7109375" style="757" bestFit="1" customWidth="1"/>
    <col min="489" max="489" width="13.7109375" style="757" customWidth="1"/>
    <col min="490" max="739" width="9.28515625" style="757"/>
    <col min="740" max="740" width="3" style="757" customWidth="1"/>
    <col min="741" max="741" width="9.28515625" style="757" customWidth="1"/>
    <col min="742" max="742" width="63.42578125" style="757" customWidth="1"/>
    <col min="743" max="743" width="23.7109375" style="757" customWidth="1"/>
    <col min="744" max="744" width="19.7109375" style="757" bestFit="1" customWidth="1"/>
    <col min="745" max="745" width="13.7109375" style="757" customWidth="1"/>
    <col min="746" max="995" width="9.28515625" style="757"/>
    <col min="996" max="996" width="3" style="757" customWidth="1"/>
    <col min="997" max="997" width="9.28515625" style="757" customWidth="1"/>
    <col min="998" max="998" width="63.42578125" style="757" customWidth="1"/>
    <col min="999" max="999" width="23.7109375" style="757" customWidth="1"/>
    <col min="1000" max="1000" width="19.7109375" style="757" bestFit="1" customWidth="1"/>
    <col min="1001" max="1001" width="13.7109375" style="757" customWidth="1"/>
    <col min="1002" max="1251" width="9.28515625" style="757"/>
    <col min="1252" max="1252" width="3" style="757" customWidth="1"/>
    <col min="1253" max="1253" width="9.28515625" style="757" customWidth="1"/>
    <col min="1254" max="1254" width="63.42578125" style="757" customWidth="1"/>
    <col min="1255" max="1255" width="23.7109375" style="757" customWidth="1"/>
    <col min="1256" max="1256" width="19.7109375" style="757" bestFit="1" customWidth="1"/>
    <col min="1257" max="1257" width="13.7109375" style="757" customWidth="1"/>
    <col min="1258" max="1507" width="9.28515625" style="757"/>
    <col min="1508" max="1508" width="3" style="757" customWidth="1"/>
    <col min="1509" max="1509" width="9.28515625" style="757" customWidth="1"/>
    <col min="1510" max="1510" width="63.42578125" style="757" customWidth="1"/>
    <col min="1511" max="1511" width="23.7109375" style="757" customWidth="1"/>
    <col min="1512" max="1512" width="19.7109375" style="757" bestFit="1" customWidth="1"/>
    <col min="1513" max="1513" width="13.7109375" style="757" customWidth="1"/>
    <col min="1514" max="1763" width="9.28515625" style="757"/>
    <col min="1764" max="1764" width="3" style="757" customWidth="1"/>
    <col min="1765" max="1765" width="9.28515625" style="757" customWidth="1"/>
    <col min="1766" max="1766" width="63.42578125" style="757" customWidth="1"/>
    <col min="1767" max="1767" width="23.7109375" style="757" customWidth="1"/>
    <col min="1768" max="1768" width="19.7109375" style="757" bestFit="1" customWidth="1"/>
    <col min="1769" max="1769" width="13.7109375" style="757" customWidth="1"/>
    <col min="1770" max="2019" width="9.28515625" style="757"/>
    <col min="2020" max="2020" width="3" style="757" customWidth="1"/>
    <col min="2021" max="2021" width="9.28515625" style="757" customWidth="1"/>
    <col min="2022" max="2022" width="63.42578125" style="757" customWidth="1"/>
    <col min="2023" max="2023" width="23.7109375" style="757" customWidth="1"/>
    <col min="2024" max="2024" width="19.7109375" style="757" bestFit="1" customWidth="1"/>
    <col min="2025" max="2025" width="13.7109375" style="757" customWidth="1"/>
    <col min="2026" max="2275" width="9.28515625" style="757"/>
    <col min="2276" max="2276" width="3" style="757" customWidth="1"/>
    <col min="2277" max="2277" width="9.28515625" style="757" customWidth="1"/>
    <col min="2278" max="2278" width="63.42578125" style="757" customWidth="1"/>
    <col min="2279" max="2279" width="23.7109375" style="757" customWidth="1"/>
    <col min="2280" max="2280" width="19.7109375" style="757" bestFit="1" customWidth="1"/>
    <col min="2281" max="2281" width="13.7109375" style="757" customWidth="1"/>
    <col min="2282" max="2531" width="9.28515625" style="757"/>
    <col min="2532" max="2532" width="3" style="757" customWidth="1"/>
    <col min="2533" max="2533" width="9.28515625" style="757" customWidth="1"/>
    <col min="2534" max="2534" width="63.42578125" style="757" customWidth="1"/>
    <col min="2535" max="2535" width="23.7109375" style="757" customWidth="1"/>
    <col min="2536" max="2536" width="19.7109375" style="757" bestFit="1" customWidth="1"/>
    <col min="2537" max="2537" width="13.7109375" style="757" customWidth="1"/>
    <col min="2538" max="2787" width="9.28515625" style="757"/>
    <col min="2788" max="2788" width="3" style="757" customWidth="1"/>
    <col min="2789" max="2789" width="9.28515625" style="757" customWidth="1"/>
    <col min="2790" max="2790" width="63.42578125" style="757" customWidth="1"/>
    <col min="2791" max="2791" width="23.7109375" style="757" customWidth="1"/>
    <col min="2792" max="2792" width="19.7109375" style="757" bestFit="1" customWidth="1"/>
    <col min="2793" max="2793" width="13.7109375" style="757" customWidth="1"/>
    <col min="2794" max="3043" width="9.28515625" style="757"/>
    <col min="3044" max="3044" width="3" style="757" customWidth="1"/>
    <col min="3045" max="3045" width="9.28515625" style="757" customWidth="1"/>
    <col min="3046" max="3046" width="63.42578125" style="757" customWidth="1"/>
    <col min="3047" max="3047" width="23.7109375" style="757" customWidth="1"/>
    <col min="3048" max="3048" width="19.7109375" style="757" bestFit="1" customWidth="1"/>
    <col min="3049" max="3049" width="13.7109375" style="757" customWidth="1"/>
    <col min="3050" max="3299" width="9.28515625" style="757"/>
    <col min="3300" max="3300" width="3" style="757" customWidth="1"/>
    <col min="3301" max="3301" width="9.28515625" style="757" customWidth="1"/>
    <col min="3302" max="3302" width="63.42578125" style="757" customWidth="1"/>
    <col min="3303" max="3303" width="23.7109375" style="757" customWidth="1"/>
    <col min="3304" max="3304" width="19.7109375" style="757" bestFit="1" customWidth="1"/>
    <col min="3305" max="3305" width="13.7109375" style="757" customWidth="1"/>
    <col min="3306" max="3555" width="9.28515625" style="757"/>
    <col min="3556" max="3556" width="3" style="757" customWidth="1"/>
    <col min="3557" max="3557" width="9.28515625" style="757" customWidth="1"/>
    <col min="3558" max="3558" width="63.42578125" style="757" customWidth="1"/>
    <col min="3559" max="3559" width="23.7109375" style="757" customWidth="1"/>
    <col min="3560" max="3560" width="19.7109375" style="757" bestFit="1" customWidth="1"/>
    <col min="3561" max="3561" width="13.7109375" style="757" customWidth="1"/>
    <col min="3562" max="3811" width="9.28515625" style="757"/>
    <col min="3812" max="3812" width="3" style="757" customWidth="1"/>
    <col min="3813" max="3813" width="9.28515625" style="757" customWidth="1"/>
    <col min="3814" max="3814" width="63.42578125" style="757" customWidth="1"/>
    <col min="3815" max="3815" width="23.7109375" style="757" customWidth="1"/>
    <col min="3816" max="3816" width="19.7109375" style="757" bestFit="1" customWidth="1"/>
    <col min="3817" max="3817" width="13.7109375" style="757" customWidth="1"/>
    <col min="3818" max="4067" width="9.28515625" style="757"/>
    <col min="4068" max="4068" width="3" style="757" customWidth="1"/>
    <col min="4069" max="4069" width="9.28515625" style="757" customWidth="1"/>
    <col min="4070" max="4070" width="63.42578125" style="757" customWidth="1"/>
    <col min="4071" max="4071" width="23.7109375" style="757" customWidth="1"/>
    <col min="4072" max="4072" width="19.7109375" style="757" bestFit="1" customWidth="1"/>
    <col min="4073" max="4073" width="13.7109375" style="757" customWidth="1"/>
    <col min="4074" max="4323" width="9.28515625" style="757"/>
    <col min="4324" max="4324" width="3" style="757" customWidth="1"/>
    <col min="4325" max="4325" width="9.28515625" style="757" customWidth="1"/>
    <col min="4326" max="4326" width="63.42578125" style="757" customWidth="1"/>
    <col min="4327" max="4327" width="23.7109375" style="757" customWidth="1"/>
    <col min="4328" max="4328" width="19.7109375" style="757" bestFit="1" customWidth="1"/>
    <col min="4329" max="4329" width="13.7109375" style="757" customWidth="1"/>
    <col min="4330" max="4579" width="9.28515625" style="757"/>
    <col min="4580" max="4580" width="3" style="757" customWidth="1"/>
    <col min="4581" max="4581" width="9.28515625" style="757" customWidth="1"/>
    <col min="4582" max="4582" width="63.42578125" style="757" customWidth="1"/>
    <col min="4583" max="4583" width="23.7109375" style="757" customWidth="1"/>
    <col min="4584" max="4584" width="19.7109375" style="757" bestFit="1" customWidth="1"/>
    <col min="4585" max="4585" width="13.7109375" style="757" customWidth="1"/>
    <col min="4586" max="4835" width="9.28515625" style="757"/>
    <col min="4836" max="4836" width="3" style="757" customWidth="1"/>
    <col min="4837" max="4837" width="9.28515625" style="757" customWidth="1"/>
    <col min="4838" max="4838" width="63.42578125" style="757" customWidth="1"/>
    <col min="4839" max="4839" width="23.7109375" style="757" customWidth="1"/>
    <col min="4840" max="4840" width="19.7109375" style="757" bestFit="1" customWidth="1"/>
    <col min="4841" max="4841" width="13.7109375" style="757" customWidth="1"/>
    <col min="4842" max="5091" width="9.28515625" style="757"/>
    <col min="5092" max="5092" width="3" style="757" customWidth="1"/>
    <col min="5093" max="5093" width="9.28515625" style="757" customWidth="1"/>
    <col min="5094" max="5094" width="63.42578125" style="757" customWidth="1"/>
    <col min="5095" max="5095" width="23.7109375" style="757" customWidth="1"/>
    <col min="5096" max="5096" width="19.7109375" style="757" bestFit="1" customWidth="1"/>
    <col min="5097" max="5097" width="13.7109375" style="757" customWidth="1"/>
    <col min="5098" max="5347" width="9.28515625" style="757"/>
    <col min="5348" max="5348" width="3" style="757" customWidth="1"/>
    <col min="5349" max="5349" width="9.28515625" style="757" customWidth="1"/>
    <col min="5350" max="5350" width="63.42578125" style="757" customWidth="1"/>
    <col min="5351" max="5351" width="23.7109375" style="757" customWidth="1"/>
    <col min="5352" max="5352" width="19.7109375" style="757" bestFit="1" customWidth="1"/>
    <col min="5353" max="5353" width="13.7109375" style="757" customWidth="1"/>
    <col min="5354" max="5603" width="9.28515625" style="757"/>
    <col min="5604" max="5604" width="3" style="757" customWidth="1"/>
    <col min="5605" max="5605" width="9.28515625" style="757" customWidth="1"/>
    <col min="5606" max="5606" width="63.42578125" style="757" customWidth="1"/>
    <col min="5607" max="5607" width="23.7109375" style="757" customWidth="1"/>
    <col min="5608" max="5608" width="19.7109375" style="757" bestFit="1" customWidth="1"/>
    <col min="5609" max="5609" width="13.7109375" style="757" customWidth="1"/>
    <col min="5610" max="5859" width="9.28515625" style="757"/>
    <col min="5860" max="5860" width="3" style="757" customWidth="1"/>
    <col min="5861" max="5861" width="9.28515625" style="757" customWidth="1"/>
    <col min="5862" max="5862" width="63.42578125" style="757" customWidth="1"/>
    <col min="5863" max="5863" width="23.7109375" style="757" customWidth="1"/>
    <col min="5864" max="5864" width="19.7109375" style="757" bestFit="1" customWidth="1"/>
    <col min="5865" max="5865" width="13.7109375" style="757" customWidth="1"/>
    <col min="5866" max="6115" width="9.28515625" style="757"/>
    <col min="6116" max="6116" width="3" style="757" customWidth="1"/>
    <col min="6117" max="6117" width="9.28515625" style="757" customWidth="1"/>
    <col min="6118" max="6118" width="63.42578125" style="757" customWidth="1"/>
    <col min="6119" max="6119" width="23.7109375" style="757" customWidth="1"/>
    <col min="6120" max="6120" width="19.7109375" style="757" bestFit="1" customWidth="1"/>
    <col min="6121" max="6121" width="13.7109375" style="757" customWidth="1"/>
    <col min="6122" max="6371" width="9.28515625" style="757"/>
    <col min="6372" max="6372" width="3" style="757" customWidth="1"/>
    <col min="6373" max="6373" width="9.28515625" style="757" customWidth="1"/>
    <col min="6374" max="6374" width="63.42578125" style="757" customWidth="1"/>
    <col min="6375" max="6375" width="23.7109375" style="757" customWidth="1"/>
    <col min="6376" max="6376" width="19.7109375" style="757" bestFit="1" customWidth="1"/>
    <col min="6377" max="6377" width="13.7109375" style="757" customWidth="1"/>
    <col min="6378" max="6627" width="9.28515625" style="757"/>
    <col min="6628" max="6628" width="3" style="757" customWidth="1"/>
    <col min="6629" max="6629" width="9.28515625" style="757" customWidth="1"/>
    <col min="6630" max="6630" width="63.42578125" style="757" customWidth="1"/>
    <col min="6631" max="6631" width="23.7109375" style="757" customWidth="1"/>
    <col min="6632" max="6632" width="19.7109375" style="757" bestFit="1" customWidth="1"/>
    <col min="6633" max="6633" width="13.7109375" style="757" customWidth="1"/>
    <col min="6634" max="6883" width="9.28515625" style="757"/>
    <col min="6884" max="6884" width="3" style="757" customWidth="1"/>
    <col min="6885" max="6885" width="9.28515625" style="757" customWidth="1"/>
    <col min="6886" max="6886" width="63.42578125" style="757" customWidth="1"/>
    <col min="6887" max="6887" width="23.7109375" style="757" customWidth="1"/>
    <col min="6888" max="6888" width="19.7109375" style="757" bestFit="1" customWidth="1"/>
    <col min="6889" max="6889" width="13.7109375" style="757" customWidth="1"/>
    <col min="6890" max="7139" width="9.28515625" style="757"/>
    <col min="7140" max="7140" width="3" style="757" customWidth="1"/>
    <col min="7141" max="7141" width="9.28515625" style="757" customWidth="1"/>
    <col min="7142" max="7142" width="63.42578125" style="757" customWidth="1"/>
    <col min="7143" max="7143" width="23.7109375" style="757" customWidth="1"/>
    <col min="7144" max="7144" width="19.7109375" style="757" bestFit="1" customWidth="1"/>
    <col min="7145" max="7145" width="13.7109375" style="757" customWidth="1"/>
    <col min="7146" max="7395" width="9.28515625" style="757"/>
    <col min="7396" max="7396" width="3" style="757" customWidth="1"/>
    <col min="7397" max="7397" width="9.28515625" style="757" customWidth="1"/>
    <col min="7398" max="7398" width="63.42578125" style="757" customWidth="1"/>
    <col min="7399" max="7399" width="23.7109375" style="757" customWidth="1"/>
    <col min="7400" max="7400" width="19.7109375" style="757" bestFit="1" customWidth="1"/>
    <col min="7401" max="7401" width="13.7109375" style="757" customWidth="1"/>
    <col min="7402" max="7651" width="9.28515625" style="757"/>
    <col min="7652" max="7652" width="3" style="757" customWidth="1"/>
    <col min="7653" max="7653" width="9.28515625" style="757" customWidth="1"/>
    <col min="7654" max="7654" width="63.42578125" style="757" customWidth="1"/>
    <col min="7655" max="7655" width="23.7109375" style="757" customWidth="1"/>
    <col min="7656" max="7656" width="19.7109375" style="757" bestFit="1" customWidth="1"/>
    <col min="7657" max="7657" width="13.7109375" style="757" customWidth="1"/>
    <col min="7658" max="7907" width="9.28515625" style="757"/>
    <col min="7908" max="7908" width="3" style="757" customWidth="1"/>
    <col min="7909" max="7909" width="9.28515625" style="757" customWidth="1"/>
    <col min="7910" max="7910" width="63.42578125" style="757" customWidth="1"/>
    <col min="7911" max="7911" width="23.7109375" style="757" customWidth="1"/>
    <col min="7912" max="7912" width="19.7109375" style="757" bestFit="1" customWidth="1"/>
    <col min="7913" max="7913" width="13.7109375" style="757" customWidth="1"/>
    <col min="7914" max="8163" width="9.28515625" style="757"/>
    <col min="8164" max="8164" width="3" style="757" customWidth="1"/>
    <col min="8165" max="8165" width="9.28515625" style="757" customWidth="1"/>
    <col min="8166" max="8166" width="63.42578125" style="757" customWidth="1"/>
    <col min="8167" max="8167" width="23.7109375" style="757" customWidth="1"/>
    <col min="8168" max="8168" width="19.7109375" style="757" bestFit="1" customWidth="1"/>
    <col min="8169" max="8169" width="13.7109375" style="757" customWidth="1"/>
    <col min="8170" max="8419" width="9.28515625" style="757"/>
    <col min="8420" max="8420" width="3" style="757" customWidth="1"/>
    <col min="8421" max="8421" width="9.28515625" style="757" customWidth="1"/>
    <col min="8422" max="8422" width="63.42578125" style="757" customWidth="1"/>
    <col min="8423" max="8423" width="23.7109375" style="757" customWidth="1"/>
    <col min="8424" max="8424" width="19.7109375" style="757" bestFit="1" customWidth="1"/>
    <col min="8425" max="8425" width="13.7109375" style="757" customWidth="1"/>
    <col min="8426" max="8675" width="9.28515625" style="757"/>
    <col min="8676" max="8676" width="3" style="757" customWidth="1"/>
    <col min="8677" max="8677" width="9.28515625" style="757" customWidth="1"/>
    <col min="8678" max="8678" width="63.42578125" style="757" customWidth="1"/>
    <col min="8679" max="8679" width="23.7109375" style="757" customWidth="1"/>
    <col min="8680" max="8680" width="19.7109375" style="757" bestFit="1" customWidth="1"/>
    <col min="8681" max="8681" width="13.7109375" style="757" customWidth="1"/>
    <col min="8682" max="8931" width="9.28515625" style="757"/>
    <col min="8932" max="8932" width="3" style="757" customWidth="1"/>
    <col min="8933" max="8933" width="9.28515625" style="757" customWidth="1"/>
    <col min="8934" max="8934" width="63.42578125" style="757" customWidth="1"/>
    <col min="8935" max="8935" width="23.7109375" style="757" customWidth="1"/>
    <col min="8936" max="8936" width="19.7109375" style="757" bestFit="1" customWidth="1"/>
    <col min="8937" max="8937" width="13.7109375" style="757" customWidth="1"/>
    <col min="8938" max="9187" width="9.28515625" style="757"/>
    <col min="9188" max="9188" width="3" style="757" customWidth="1"/>
    <col min="9189" max="9189" width="9.28515625" style="757" customWidth="1"/>
    <col min="9190" max="9190" width="63.42578125" style="757" customWidth="1"/>
    <col min="9191" max="9191" width="23.7109375" style="757" customWidth="1"/>
    <col min="9192" max="9192" width="19.7109375" style="757" bestFit="1" customWidth="1"/>
    <col min="9193" max="9193" width="13.7109375" style="757" customWidth="1"/>
    <col min="9194" max="9443" width="9.28515625" style="757"/>
    <col min="9444" max="9444" width="3" style="757" customWidth="1"/>
    <col min="9445" max="9445" width="9.28515625" style="757" customWidth="1"/>
    <col min="9446" max="9446" width="63.42578125" style="757" customWidth="1"/>
    <col min="9447" max="9447" width="23.7109375" style="757" customWidth="1"/>
    <col min="9448" max="9448" width="19.7109375" style="757" bestFit="1" customWidth="1"/>
    <col min="9449" max="9449" width="13.7109375" style="757" customWidth="1"/>
    <col min="9450" max="9699" width="9.28515625" style="757"/>
    <col min="9700" max="9700" width="3" style="757" customWidth="1"/>
    <col min="9701" max="9701" width="9.28515625" style="757" customWidth="1"/>
    <col min="9702" max="9702" width="63.42578125" style="757" customWidth="1"/>
    <col min="9703" max="9703" width="23.7109375" style="757" customWidth="1"/>
    <col min="9704" max="9704" width="19.7109375" style="757" bestFit="1" customWidth="1"/>
    <col min="9705" max="9705" width="13.7109375" style="757" customWidth="1"/>
    <col min="9706" max="9955" width="9.28515625" style="757"/>
    <col min="9956" max="9956" width="3" style="757" customWidth="1"/>
    <col min="9957" max="9957" width="9.28515625" style="757" customWidth="1"/>
    <col min="9958" max="9958" width="63.42578125" style="757" customWidth="1"/>
    <col min="9959" max="9959" width="23.7109375" style="757" customWidth="1"/>
    <col min="9960" max="9960" width="19.7109375" style="757" bestFit="1" customWidth="1"/>
    <col min="9961" max="9961" width="13.7109375" style="757" customWidth="1"/>
    <col min="9962" max="10211" width="9.28515625" style="757"/>
    <col min="10212" max="10212" width="3" style="757" customWidth="1"/>
    <col min="10213" max="10213" width="9.28515625" style="757" customWidth="1"/>
    <col min="10214" max="10214" width="63.42578125" style="757" customWidth="1"/>
    <col min="10215" max="10215" width="23.7109375" style="757" customWidth="1"/>
    <col min="10216" max="10216" width="19.7109375" style="757" bestFit="1" customWidth="1"/>
    <col min="10217" max="10217" width="13.7109375" style="757" customWidth="1"/>
    <col min="10218" max="10467" width="9.28515625" style="757"/>
    <col min="10468" max="10468" width="3" style="757" customWidth="1"/>
    <col min="10469" max="10469" width="9.28515625" style="757" customWidth="1"/>
    <col min="10470" max="10470" width="63.42578125" style="757" customWidth="1"/>
    <col min="10471" max="10471" width="23.7109375" style="757" customWidth="1"/>
    <col min="10472" max="10472" width="19.7109375" style="757" bestFit="1" customWidth="1"/>
    <col min="10473" max="10473" width="13.7109375" style="757" customWidth="1"/>
    <col min="10474" max="10723" width="9.28515625" style="757"/>
    <col min="10724" max="10724" width="3" style="757" customWidth="1"/>
    <col min="10725" max="10725" width="9.28515625" style="757" customWidth="1"/>
    <col min="10726" max="10726" width="63.42578125" style="757" customWidth="1"/>
    <col min="10727" max="10727" width="23.7109375" style="757" customWidth="1"/>
    <col min="10728" max="10728" width="19.7109375" style="757" bestFit="1" customWidth="1"/>
    <col min="10729" max="10729" width="13.7109375" style="757" customWidth="1"/>
    <col min="10730" max="10979" width="9.28515625" style="757"/>
    <col min="10980" max="10980" width="3" style="757" customWidth="1"/>
    <col min="10981" max="10981" width="9.28515625" style="757" customWidth="1"/>
    <col min="10982" max="10982" width="63.42578125" style="757" customWidth="1"/>
    <col min="10983" max="10983" width="23.7109375" style="757" customWidth="1"/>
    <col min="10984" max="10984" width="19.7109375" style="757" bestFit="1" customWidth="1"/>
    <col min="10985" max="10985" width="13.7109375" style="757" customWidth="1"/>
    <col min="10986" max="11235" width="9.28515625" style="757"/>
    <col min="11236" max="11236" width="3" style="757" customWidth="1"/>
    <col min="11237" max="11237" width="9.28515625" style="757" customWidth="1"/>
    <col min="11238" max="11238" width="63.42578125" style="757" customWidth="1"/>
    <col min="11239" max="11239" width="23.7109375" style="757" customWidth="1"/>
    <col min="11240" max="11240" width="19.7109375" style="757" bestFit="1" customWidth="1"/>
    <col min="11241" max="11241" width="13.7109375" style="757" customWidth="1"/>
    <col min="11242" max="11491" width="9.28515625" style="757"/>
    <col min="11492" max="11492" width="3" style="757" customWidth="1"/>
    <col min="11493" max="11493" width="9.28515625" style="757" customWidth="1"/>
    <col min="11494" max="11494" width="63.42578125" style="757" customWidth="1"/>
    <col min="11495" max="11495" width="23.7109375" style="757" customWidth="1"/>
    <col min="11496" max="11496" width="19.7109375" style="757" bestFit="1" customWidth="1"/>
    <col min="11497" max="11497" width="13.7109375" style="757" customWidth="1"/>
    <col min="11498" max="11747" width="9.28515625" style="757"/>
    <col min="11748" max="11748" width="3" style="757" customWidth="1"/>
    <col min="11749" max="11749" width="9.28515625" style="757" customWidth="1"/>
    <col min="11750" max="11750" width="63.42578125" style="757" customWidth="1"/>
    <col min="11751" max="11751" width="23.7109375" style="757" customWidth="1"/>
    <col min="11752" max="11752" width="19.7109375" style="757" bestFit="1" customWidth="1"/>
    <col min="11753" max="11753" width="13.7109375" style="757" customWidth="1"/>
    <col min="11754" max="12003" width="9.28515625" style="757"/>
    <col min="12004" max="12004" width="3" style="757" customWidth="1"/>
    <col min="12005" max="12005" width="9.28515625" style="757" customWidth="1"/>
    <col min="12006" max="12006" width="63.42578125" style="757" customWidth="1"/>
    <col min="12007" max="12007" width="23.7109375" style="757" customWidth="1"/>
    <col min="12008" max="12008" width="19.7109375" style="757" bestFit="1" customWidth="1"/>
    <col min="12009" max="12009" width="13.7109375" style="757" customWidth="1"/>
    <col min="12010" max="12259" width="9.28515625" style="757"/>
    <col min="12260" max="12260" width="3" style="757" customWidth="1"/>
    <col min="12261" max="12261" width="9.28515625" style="757" customWidth="1"/>
    <col min="12262" max="12262" width="63.42578125" style="757" customWidth="1"/>
    <col min="12263" max="12263" width="23.7109375" style="757" customWidth="1"/>
    <col min="12264" max="12264" width="19.7109375" style="757" bestFit="1" customWidth="1"/>
    <col min="12265" max="12265" width="13.7109375" style="757" customWidth="1"/>
    <col min="12266" max="12515" width="9.28515625" style="757"/>
    <col min="12516" max="12516" width="3" style="757" customWidth="1"/>
    <col min="12517" max="12517" width="9.28515625" style="757" customWidth="1"/>
    <col min="12518" max="12518" width="63.42578125" style="757" customWidth="1"/>
    <col min="12519" max="12519" width="23.7109375" style="757" customWidth="1"/>
    <col min="12520" max="12520" width="19.7109375" style="757" bestFit="1" customWidth="1"/>
    <col min="12521" max="12521" width="13.7109375" style="757" customWidth="1"/>
    <col min="12522" max="12771" width="9.28515625" style="757"/>
    <col min="12772" max="12772" width="3" style="757" customWidth="1"/>
    <col min="12773" max="12773" width="9.28515625" style="757" customWidth="1"/>
    <col min="12774" max="12774" width="63.42578125" style="757" customWidth="1"/>
    <col min="12775" max="12775" width="23.7109375" style="757" customWidth="1"/>
    <col min="12776" max="12776" width="19.7109375" style="757" bestFit="1" customWidth="1"/>
    <col min="12777" max="12777" width="13.7109375" style="757" customWidth="1"/>
    <col min="12778" max="13027" width="9.28515625" style="757"/>
    <col min="13028" max="13028" width="3" style="757" customWidth="1"/>
    <col min="13029" max="13029" width="9.28515625" style="757" customWidth="1"/>
    <col min="13030" max="13030" width="63.42578125" style="757" customWidth="1"/>
    <col min="13031" max="13031" width="23.7109375" style="757" customWidth="1"/>
    <col min="13032" max="13032" width="19.7109375" style="757" bestFit="1" customWidth="1"/>
    <col min="13033" max="13033" width="13.7109375" style="757" customWidth="1"/>
    <col min="13034" max="13283" width="9.28515625" style="757"/>
    <col min="13284" max="13284" width="3" style="757" customWidth="1"/>
    <col min="13285" max="13285" width="9.28515625" style="757" customWidth="1"/>
    <col min="13286" max="13286" width="63.42578125" style="757" customWidth="1"/>
    <col min="13287" max="13287" width="23.7109375" style="757" customWidth="1"/>
    <col min="13288" max="13288" width="19.7109375" style="757" bestFit="1" customWidth="1"/>
    <col min="13289" max="13289" width="13.7109375" style="757" customWidth="1"/>
    <col min="13290" max="13539" width="9.28515625" style="757"/>
    <col min="13540" max="13540" width="3" style="757" customWidth="1"/>
    <col min="13541" max="13541" width="9.28515625" style="757" customWidth="1"/>
    <col min="13542" max="13542" width="63.42578125" style="757" customWidth="1"/>
    <col min="13543" max="13543" width="23.7109375" style="757" customWidth="1"/>
    <col min="13544" max="13544" width="19.7109375" style="757" bestFit="1" customWidth="1"/>
    <col min="13545" max="13545" width="13.7109375" style="757" customWidth="1"/>
    <col min="13546" max="13795" width="9.28515625" style="757"/>
    <col min="13796" max="13796" width="3" style="757" customWidth="1"/>
    <col min="13797" max="13797" width="9.28515625" style="757" customWidth="1"/>
    <col min="13798" max="13798" width="63.42578125" style="757" customWidth="1"/>
    <col min="13799" max="13799" width="23.7109375" style="757" customWidth="1"/>
    <col min="13800" max="13800" width="19.7109375" style="757" bestFit="1" customWidth="1"/>
    <col min="13801" max="13801" width="13.7109375" style="757" customWidth="1"/>
    <col min="13802" max="14051" width="9.28515625" style="757"/>
    <col min="14052" max="14052" width="3" style="757" customWidth="1"/>
    <col min="14053" max="14053" width="9.28515625" style="757" customWidth="1"/>
    <col min="14054" max="14054" width="63.42578125" style="757" customWidth="1"/>
    <col min="14055" max="14055" width="23.7109375" style="757" customWidth="1"/>
    <col min="14056" max="14056" width="19.7109375" style="757" bestFit="1" customWidth="1"/>
    <col min="14057" max="14057" width="13.7109375" style="757" customWidth="1"/>
    <col min="14058" max="14307" width="9.28515625" style="757"/>
    <col min="14308" max="14308" width="3" style="757" customWidth="1"/>
    <col min="14309" max="14309" width="9.28515625" style="757" customWidth="1"/>
    <col min="14310" max="14310" width="63.42578125" style="757" customWidth="1"/>
    <col min="14311" max="14311" width="23.7109375" style="757" customWidth="1"/>
    <col min="14312" max="14312" width="19.7109375" style="757" bestFit="1" customWidth="1"/>
    <col min="14313" max="14313" width="13.7109375" style="757" customWidth="1"/>
    <col min="14314" max="14563" width="9.28515625" style="757"/>
    <col min="14564" max="14564" width="3" style="757" customWidth="1"/>
    <col min="14565" max="14565" width="9.28515625" style="757" customWidth="1"/>
    <col min="14566" max="14566" width="63.42578125" style="757" customWidth="1"/>
    <col min="14567" max="14567" width="23.7109375" style="757" customWidth="1"/>
    <col min="14568" max="14568" width="19.7109375" style="757" bestFit="1" customWidth="1"/>
    <col min="14569" max="14569" width="13.7109375" style="757" customWidth="1"/>
    <col min="14570" max="14819" width="9.28515625" style="757"/>
    <col min="14820" max="14820" width="3" style="757" customWidth="1"/>
    <col min="14821" max="14821" width="9.28515625" style="757" customWidth="1"/>
    <col min="14822" max="14822" width="63.42578125" style="757" customWidth="1"/>
    <col min="14823" max="14823" width="23.7109375" style="757" customWidth="1"/>
    <col min="14824" max="14824" width="19.7109375" style="757" bestFit="1" customWidth="1"/>
    <col min="14825" max="14825" width="13.7109375" style="757" customWidth="1"/>
    <col min="14826" max="15075" width="9.28515625" style="757"/>
    <col min="15076" max="15076" width="3" style="757" customWidth="1"/>
    <col min="15077" max="15077" width="9.28515625" style="757" customWidth="1"/>
    <col min="15078" max="15078" width="63.42578125" style="757" customWidth="1"/>
    <col min="15079" max="15079" width="23.7109375" style="757" customWidth="1"/>
    <col min="15080" max="15080" width="19.7109375" style="757" bestFit="1" customWidth="1"/>
    <col min="15081" max="15081" width="13.7109375" style="757" customWidth="1"/>
    <col min="15082" max="15331" width="9.28515625" style="757"/>
    <col min="15332" max="15332" width="3" style="757" customWidth="1"/>
    <col min="15333" max="15333" width="9.28515625" style="757" customWidth="1"/>
    <col min="15334" max="15334" width="63.42578125" style="757" customWidth="1"/>
    <col min="15335" max="15335" width="23.7109375" style="757" customWidth="1"/>
    <col min="15336" max="15336" width="19.7109375" style="757" bestFit="1" customWidth="1"/>
    <col min="15337" max="15337" width="13.7109375" style="757" customWidth="1"/>
    <col min="15338" max="15587" width="9.28515625" style="757"/>
    <col min="15588" max="15588" width="3" style="757" customWidth="1"/>
    <col min="15589" max="15589" width="9.28515625" style="757" customWidth="1"/>
    <col min="15590" max="15590" width="63.42578125" style="757" customWidth="1"/>
    <col min="15591" max="15591" width="23.7109375" style="757" customWidth="1"/>
    <col min="15592" max="15592" width="19.7109375" style="757" bestFit="1" customWidth="1"/>
    <col min="15593" max="15593" width="13.7109375" style="757" customWidth="1"/>
    <col min="15594" max="15843" width="9.28515625" style="757"/>
    <col min="15844" max="15844" width="3" style="757" customWidth="1"/>
    <col min="15845" max="15845" width="9.28515625" style="757" customWidth="1"/>
    <col min="15846" max="15846" width="63.42578125" style="757" customWidth="1"/>
    <col min="15847" max="15847" width="23.7109375" style="757" customWidth="1"/>
    <col min="15848" max="15848" width="19.7109375" style="757" bestFit="1" customWidth="1"/>
    <col min="15849" max="15849" width="13.7109375" style="757" customWidth="1"/>
    <col min="15850" max="16099" width="9.28515625" style="757"/>
    <col min="16100" max="16100" width="3" style="757" customWidth="1"/>
    <col min="16101" max="16101" width="9.28515625" style="757" customWidth="1"/>
    <col min="16102" max="16102" width="63.42578125" style="757" customWidth="1"/>
    <col min="16103" max="16103" width="23.7109375" style="757" customWidth="1"/>
    <col min="16104" max="16104" width="19.7109375" style="757" bestFit="1" customWidth="1"/>
    <col min="16105" max="16105" width="13.7109375" style="757" customWidth="1"/>
    <col min="16106" max="16384" width="9.28515625" style="757"/>
  </cols>
  <sheetData>
    <row r="1" spans="1:5">
      <c r="C1" s="786" t="s">
        <v>933</v>
      </c>
    </row>
    <row r="2" spans="1:5" s="751" customFormat="1" ht="49.5" customHeight="1">
      <c r="A2" s="749" t="s">
        <v>936</v>
      </c>
      <c r="B2" s="749"/>
      <c r="C2" s="749"/>
      <c r="D2" s="749"/>
      <c r="E2" s="750"/>
    </row>
    <row r="3" spans="1:5" s="751" customFormat="1" ht="16.5">
      <c r="A3" s="752"/>
      <c r="B3" s="753"/>
      <c r="C3" s="2016" t="s">
        <v>908</v>
      </c>
      <c r="D3" s="2016"/>
      <c r="E3" s="750"/>
    </row>
    <row r="4" spans="1:5" ht="24" customHeight="1">
      <c r="A4" s="754" t="s">
        <v>291</v>
      </c>
      <c r="B4" s="754" t="s">
        <v>292</v>
      </c>
      <c r="C4" s="755" t="s">
        <v>909</v>
      </c>
      <c r="D4" s="755" t="s">
        <v>184</v>
      </c>
    </row>
    <row r="5" spans="1:5" s="817" customFormat="1" ht="18.75" customHeight="1">
      <c r="A5" s="814" t="s">
        <v>294</v>
      </c>
      <c r="B5" s="814" t="s">
        <v>295</v>
      </c>
      <c r="C5" s="814">
        <v>1</v>
      </c>
      <c r="D5" s="815"/>
      <c r="E5" s="816"/>
    </row>
    <row r="6" spans="1:5" ht="37.5" customHeight="1">
      <c r="A6" s="758" t="s">
        <v>294</v>
      </c>
      <c r="B6" s="759" t="s">
        <v>910</v>
      </c>
      <c r="C6" s="788">
        <v>18847</v>
      </c>
      <c r="D6" s="760">
        <v>3123</v>
      </c>
    </row>
    <row r="7" spans="1:5" ht="35.25" customHeight="1">
      <c r="A7" s="761" t="s">
        <v>108</v>
      </c>
      <c r="B7" s="762" t="s">
        <v>911</v>
      </c>
      <c r="C7" s="788">
        <f>SUM(C8:C11)</f>
        <v>4000</v>
      </c>
      <c r="D7" s="763">
        <f>SUM(D8:D11)</f>
        <v>0</v>
      </c>
    </row>
    <row r="8" spans="1:5" ht="19.5" customHeight="1">
      <c r="A8" s="582">
        <v>1</v>
      </c>
      <c r="B8" s="764" t="s">
        <v>66</v>
      </c>
      <c r="C8" s="789">
        <v>4000</v>
      </c>
      <c r="D8" s="765"/>
    </row>
    <row r="9" spans="1:5" ht="19.5" customHeight="1">
      <c r="A9" s="582">
        <v>2</v>
      </c>
      <c r="B9" s="764" t="s">
        <v>912</v>
      </c>
      <c r="C9" s="789"/>
      <c r="D9" s="765"/>
    </row>
    <row r="10" spans="1:5" ht="19.5" customHeight="1">
      <c r="A10" s="582">
        <v>3</v>
      </c>
      <c r="B10" s="764" t="s">
        <v>913</v>
      </c>
      <c r="C10" s="789"/>
      <c r="D10" s="765"/>
    </row>
    <row r="11" spans="1:5" ht="19.5" customHeight="1">
      <c r="A11" s="582">
        <v>4</v>
      </c>
      <c r="B11" s="766" t="s">
        <v>914</v>
      </c>
      <c r="C11" s="789"/>
      <c r="D11" s="765"/>
    </row>
    <row r="12" spans="1:5" ht="29.25" customHeight="1">
      <c r="A12" s="767" t="s">
        <v>108</v>
      </c>
      <c r="B12" s="787" t="s">
        <v>915</v>
      </c>
      <c r="C12" s="790">
        <f>C6-C7</f>
        <v>14847</v>
      </c>
      <c r="D12" s="768">
        <f>D6-D7</f>
        <v>3123</v>
      </c>
    </row>
    <row r="13" spans="1:5" ht="24" customHeight="1">
      <c r="A13" s="769" t="s">
        <v>295</v>
      </c>
      <c r="B13" s="387" t="s">
        <v>916</v>
      </c>
      <c r="C13" s="790">
        <f>SUM(C14:C16)</f>
        <v>22791.570470999999</v>
      </c>
      <c r="D13" s="770">
        <f>SUM(D14:D16)</f>
        <v>4613.6844540000002</v>
      </c>
    </row>
    <row r="14" spans="1:5" ht="24" customHeight="1">
      <c r="A14" s="582" t="s">
        <v>60</v>
      </c>
      <c r="B14" s="771" t="s">
        <v>917</v>
      </c>
      <c r="C14" s="789">
        <v>80.969224999999994</v>
      </c>
      <c r="D14" s="765">
        <v>769.51172699999995</v>
      </c>
    </row>
    <row r="15" spans="1:5" ht="24" customHeight="1">
      <c r="A15" s="582" t="s">
        <v>60</v>
      </c>
      <c r="B15" s="771" t="s">
        <v>918</v>
      </c>
      <c r="C15" s="789">
        <v>189.58640600000001</v>
      </c>
      <c r="D15" s="765"/>
    </row>
    <row r="16" spans="1:5" ht="24" customHeight="1">
      <c r="A16" s="582" t="s">
        <v>60</v>
      </c>
      <c r="B16" s="771" t="s">
        <v>919</v>
      </c>
      <c r="C16" s="789">
        <v>22521.01484</v>
      </c>
      <c r="D16" s="765">
        <v>3844.1727270000001</v>
      </c>
    </row>
    <row r="17" spans="1:4" ht="32.25" customHeight="1">
      <c r="A17" s="767" t="s">
        <v>108</v>
      </c>
      <c r="B17" s="762" t="s">
        <v>911</v>
      </c>
      <c r="C17" s="790">
        <f>SUM(C18:C24)</f>
        <v>7070.3772450000006</v>
      </c>
      <c r="D17" s="768">
        <f>SUM(D18:D24)</f>
        <v>14.4452</v>
      </c>
    </row>
    <row r="18" spans="1:4" ht="19.5" customHeight="1">
      <c r="A18" s="582">
        <v>1</v>
      </c>
      <c r="B18" s="764" t="s">
        <v>66</v>
      </c>
      <c r="C18" s="789">
        <v>6986.2249890000003</v>
      </c>
      <c r="D18" s="765"/>
    </row>
    <row r="19" spans="1:4" ht="19.5" hidden="1" customHeight="1">
      <c r="A19" s="582">
        <v>2</v>
      </c>
      <c r="B19" s="764" t="s">
        <v>912</v>
      </c>
      <c r="C19" s="789"/>
      <c r="D19" s="765"/>
    </row>
    <row r="20" spans="1:4" ht="19.5" hidden="1" customHeight="1">
      <c r="A20" s="582">
        <v>3</v>
      </c>
      <c r="B20" s="405" t="s">
        <v>914</v>
      </c>
      <c r="C20" s="789"/>
      <c r="D20" s="765"/>
    </row>
    <row r="21" spans="1:4" ht="19.5" hidden="1" customHeight="1">
      <c r="A21" s="582">
        <v>4</v>
      </c>
      <c r="B21" s="764" t="s">
        <v>920</v>
      </c>
      <c r="C21" s="789"/>
      <c r="D21" s="765"/>
    </row>
    <row r="22" spans="1:4" ht="19.5" hidden="1" customHeight="1">
      <c r="A22" s="582">
        <v>5</v>
      </c>
      <c r="B22" s="764" t="s">
        <v>913</v>
      </c>
      <c r="C22" s="789"/>
      <c r="D22" s="765"/>
    </row>
    <row r="23" spans="1:4" ht="19.5" hidden="1" customHeight="1">
      <c r="A23" s="582">
        <v>6</v>
      </c>
      <c r="B23" s="764" t="s">
        <v>921</v>
      </c>
      <c r="C23" s="789"/>
      <c r="D23" s="765"/>
    </row>
    <row r="24" spans="1:4" ht="19.5" customHeight="1">
      <c r="A24" s="582">
        <v>2</v>
      </c>
      <c r="B24" s="764" t="s">
        <v>922</v>
      </c>
      <c r="C24" s="789">
        <v>84.152255999999994</v>
      </c>
      <c r="D24" s="765">
        <v>14.4452</v>
      </c>
    </row>
    <row r="25" spans="1:4" ht="45">
      <c r="A25" s="767" t="s">
        <v>108</v>
      </c>
      <c r="B25" s="772" t="s">
        <v>923</v>
      </c>
      <c r="C25" s="790">
        <f>C13-C17</f>
        <v>15721.193225999999</v>
      </c>
      <c r="D25" s="768">
        <f>D13-D17</f>
        <v>4599.2392540000001</v>
      </c>
    </row>
    <row r="26" spans="1:4" ht="66.75" customHeight="1">
      <c r="A26" s="769" t="s">
        <v>229</v>
      </c>
      <c r="B26" s="387" t="s">
        <v>924</v>
      </c>
      <c r="C26" s="790">
        <f>C25-C12</f>
        <v>874.19322599999941</v>
      </c>
      <c r="D26" s="770">
        <f>D25-D12</f>
        <v>1476.2392540000001</v>
      </c>
    </row>
    <row r="27" spans="1:4" ht="18.75" hidden="1">
      <c r="A27" s="773" t="s">
        <v>379</v>
      </c>
      <c r="B27" s="774" t="s">
        <v>925</v>
      </c>
      <c r="C27" s="791"/>
      <c r="D27" s="775"/>
    </row>
    <row r="28" spans="1:4" ht="18.75" hidden="1">
      <c r="A28" s="776"/>
      <c r="B28" s="776" t="s">
        <v>926</v>
      </c>
      <c r="C28" s="792"/>
      <c r="D28" s="777"/>
    </row>
    <row r="29" spans="1:4" ht="25.5" customHeight="1">
      <c r="A29" s="776"/>
      <c r="B29" s="776" t="s">
        <v>927</v>
      </c>
      <c r="C29" s="792">
        <f>+C26</f>
        <v>874.19322599999941</v>
      </c>
      <c r="D29" s="778">
        <f>+D26</f>
        <v>1476.2392540000001</v>
      </c>
    </row>
    <row r="30" spans="1:4" ht="18.75" hidden="1">
      <c r="A30" s="779"/>
      <c r="B30" s="779" t="s">
        <v>928</v>
      </c>
      <c r="C30" s="793">
        <f>+C29*0.7</f>
        <v>611.93525819999957</v>
      </c>
      <c r="D30" s="748">
        <f>+D29*0.7</f>
        <v>1033.3674778</v>
      </c>
    </row>
    <row r="31" spans="1:4" ht="18.75" hidden="1">
      <c r="A31" s="779"/>
      <c r="B31" s="779" t="s">
        <v>929</v>
      </c>
      <c r="C31" s="793">
        <f>+C29*0.3</f>
        <v>262.25796779999979</v>
      </c>
      <c r="D31" s="748">
        <f>+D29*0.3</f>
        <v>442.8717762</v>
      </c>
    </row>
    <row r="32" spans="1:4" ht="18.75" hidden="1">
      <c r="A32" s="779"/>
      <c r="B32" s="779" t="s">
        <v>930</v>
      </c>
      <c r="C32" s="793"/>
    </row>
    <row r="33" spans="1:8" s="27" customFormat="1" ht="18.75" customHeight="1">
      <c r="A33" s="780"/>
      <c r="B33" s="780" t="s">
        <v>931</v>
      </c>
      <c r="C33" s="794">
        <v>612</v>
      </c>
      <c r="D33" s="781"/>
      <c r="E33" s="782"/>
    </row>
    <row r="34" spans="1:8" s="27" customFormat="1" ht="18.75" customHeight="1">
      <c r="A34" s="780"/>
      <c r="B34" s="780" t="s">
        <v>932</v>
      </c>
      <c r="C34" s="794">
        <f>+C29-C33</f>
        <v>262.19322599999941</v>
      </c>
      <c r="D34" s="781"/>
      <c r="E34" s="782"/>
    </row>
    <row r="35" spans="1:8" ht="6.75" customHeight="1"/>
    <row r="36" spans="1:8" s="208" customFormat="1" ht="15.75" customHeight="1">
      <c r="A36" s="398"/>
      <c r="B36" s="28"/>
      <c r="C36" s="402" t="s">
        <v>686</v>
      </c>
      <c r="D36" s="388"/>
      <c r="E36" s="388"/>
      <c r="F36" s="388"/>
      <c r="G36" s="783"/>
    </row>
    <row r="37" spans="1:8" s="46" customFormat="1" ht="18.75" customHeight="1">
      <c r="A37" s="1779" t="s">
        <v>382</v>
      </c>
      <c r="B37" s="1779"/>
      <c r="C37" s="403" t="s">
        <v>532</v>
      </c>
      <c r="D37" s="404"/>
      <c r="E37" s="404"/>
      <c r="F37" s="404"/>
      <c r="G37" s="784"/>
    </row>
    <row r="38" spans="1:8" s="46" customFormat="1" ht="15.75" customHeight="1">
      <c r="A38" s="1778" t="s">
        <v>383</v>
      </c>
      <c r="B38" s="1778"/>
      <c r="C38" s="402" t="s">
        <v>141</v>
      </c>
      <c r="D38" s="388"/>
      <c r="E38" s="388"/>
      <c r="F38" s="388"/>
      <c r="G38" s="785"/>
      <c r="H38" s="785"/>
    </row>
    <row r="39" spans="1:8" s="46" customFormat="1">
      <c r="A39" s="28"/>
      <c r="B39" s="28"/>
      <c r="C39" s="215"/>
      <c r="D39" s="28"/>
      <c r="E39" s="28"/>
    </row>
    <row r="40" spans="1:8" s="46" customFormat="1">
      <c r="A40" s="28"/>
      <c r="B40" s="28"/>
      <c r="C40" s="215"/>
      <c r="D40" s="28"/>
      <c r="E40" s="28"/>
    </row>
    <row r="41" spans="1:8" s="46" customFormat="1">
      <c r="A41" s="28"/>
      <c r="B41" s="28"/>
      <c r="C41" s="215"/>
      <c r="D41" s="28"/>
      <c r="E41" s="28"/>
    </row>
    <row r="42" spans="1:8" s="46" customFormat="1" ht="30" customHeight="1">
      <c r="A42" s="28"/>
      <c r="B42" s="28"/>
      <c r="C42" s="215"/>
      <c r="D42" s="28"/>
      <c r="E42" s="28"/>
    </row>
    <row r="43" spans="1:8" s="46" customFormat="1">
      <c r="A43" s="28"/>
      <c r="B43" s="28"/>
      <c r="C43" s="215"/>
      <c r="D43" s="28"/>
      <c r="E43" s="28"/>
    </row>
    <row r="44" spans="1:8" s="46" customFormat="1">
      <c r="A44" s="28"/>
      <c r="B44" s="28"/>
      <c r="C44" s="215"/>
      <c r="D44" s="28"/>
      <c r="E44" s="28"/>
    </row>
    <row r="45" spans="1:8" s="46" customFormat="1" ht="18.75">
      <c r="A45" s="1983" t="s">
        <v>488</v>
      </c>
      <c r="B45" s="1983"/>
      <c r="C45" s="401" t="s">
        <v>513</v>
      </c>
      <c r="D45" s="216"/>
      <c r="E45" s="216"/>
      <c r="F45" s="216"/>
    </row>
  </sheetData>
  <mergeCells count="4">
    <mergeCell ref="A45:B45"/>
    <mergeCell ref="C3:D3"/>
    <mergeCell ref="A37:B37"/>
    <mergeCell ref="A38:B38"/>
  </mergeCells>
  <pageMargins left="0.7" right="0.2" top="0.33" bottom="0.24" header="0.3" footer="0.2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theme="0"/>
  </sheetPr>
  <dimension ref="A1:D24"/>
  <sheetViews>
    <sheetView zoomScaleNormal="100" workbookViewId="0">
      <selection activeCell="C10" sqref="C10"/>
    </sheetView>
  </sheetViews>
  <sheetFormatPr defaultColWidth="9.28515625" defaultRowHeight="12.75"/>
  <cols>
    <col min="1" max="1" width="7.28515625" style="22" customWidth="1"/>
    <col min="2" max="2" width="15.85546875" style="22" customWidth="1"/>
    <col min="3" max="3" width="75.28515625" style="22" customWidth="1"/>
    <col min="4" max="4" width="5.5703125" style="22" hidden="1" customWidth="1"/>
    <col min="5" max="16384" width="9.28515625" style="22"/>
  </cols>
  <sheetData>
    <row r="1" spans="1:4" ht="26.25" customHeight="1">
      <c r="A1" s="1769" t="s">
        <v>331</v>
      </c>
      <c r="B1" s="1769"/>
      <c r="C1" s="1769"/>
    </row>
    <row r="2" spans="1:4" ht="22.15" customHeight="1">
      <c r="A2" s="1769" t="s">
        <v>975</v>
      </c>
      <c r="B2" s="1769"/>
      <c r="C2" s="1769"/>
    </row>
    <row r="3" spans="1:4" ht="22.15" customHeight="1">
      <c r="A3" s="1770" t="s">
        <v>1442</v>
      </c>
      <c r="B3" s="1770"/>
      <c r="C3" s="1770"/>
    </row>
    <row r="4" spans="1:4" ht="18.600000000000001" customHeight="1"/>
    <row r="5" spans="1:4" ht="39.75" customHeight="1">
      <c r="A5" s="795" t="s">
        <v>291</v>
      </c>
      <c r="B5" s="795" t="s">
        <v>507</v>
      </c>
      <c r="C5" s="795" t="s">
        <v>292</v>
      </c>
      <c r="D5" s="47" t="s">
        <v>508</v>
      </c>
    </row>
    <row r="6" spans="1:4" ht="23.25" customHeight="1">
      <c r="A6" s="1573">
        <v>1</v>
      </c>
      <c r="B6" s="1574" t="s">
        <v>974</v>
      </c>
      <c r="C6" s="1575" t="s">
        <v>995</v>
      </c>
      <c r="D6" s="23">
        <v>15</v>
      </c>
    </row>
    <row r="7" spans="1:4" ht="23.25" customHeight="1">
      <c r="A7" s="1573">
        <v>2</v>
      </c>
      <c r="B7" s="1574" t="s">
        <v>987</v>
      </c>
      <c r="C7" s="1575" t="s">
        <v>996</v>
      </c>
      <c r="D7" s="23">
        <v>16</v>
      </c>
    </row>
    <row r="8" spans="1:4" ht="23.25" customHeight="1">
      <c r="A8" s="1573">
        <v>3</v>
      </c>
      <c r="B8" s="1574" t="s">
        <v>997</v>
      </c>
      <c r="C8" s="1575" t="s">
        <v>998</v>
      </c>
      <c r="D8" s="23">
        <v>17</v>
      </c>
    </row>
    <row r="9" spans="1:4" s="412" customFormat="1" ht="23.25" customHeight="1">
      <c r="A9" s="1576">
        <v>4</v>
      </c>
      <c r="B9" s="1577" t="s">
        <v>1000</v>
      </c>
      <c r="C9" s="1572" t="s">
        <v>1001</v>
      </c>
      <c r="D9" s="1062">
        <v>19</v>
      </c>
    </row>
    <row r="10" spans="1:4" s="1059" customFormat="1" ht="23.25" customHeight="1">
      <c r="A10" s="1573">
        <v>5</v>
      </c>
      <c r="B10" s="1577" t="s">
        <v>1219</v>
      </c>
      <c r="C10" s="1572" t="s">
        <v>1233</v>
      </c>
      <c r="D10" s="1058">
        <v>22</v>
      </c>
    </row>
    <row r="11" spans="1:4" s="1059" customFormat="1" ht="23.25" customHeight="1">
      <c r="A11" s="1576">
        <v>6</v>
      </c>
      <c r="B11" s="1577" t="s">
        <v>985</v>
      </c>
      <c r="C11" s="1572" t="s">
        <v>1234</v>
      </c>
      <c r="D11" s="1058">
        <v>24</v>
      </c>
    </row>
    <row r="12" spans="1:4" s="1059" customFormat="1" ht="23.25" customHeight="1">
      <c r="A12" s="1573">
        <v>7</v>
      </c>
      <c r="B12" s="1577" t="s">
        <v>1121</v>
      </c>
      <c r="C12" s="1572" t="s">
        <v>1235</v>
      </c>
      <c r="D12" s="1058">
        <v>30</v>
      </c>
    </row>
    <row r="13" spans="1:4" s="412" customFormat="1" ht="36" customHeight="1">
      <c r="A13" s="1576">
        <v>8</v>
      </c>
      <c r="B13" s="1577" t="s">
        <v>1112</v>
      </c>
      <c r="C13" s="1572" t="s">
        <v>1243</v>
      </c>
      <c r="D13" s="1062">
        <v>33</v>
      </c>
    </row>
    <row r="14" spans="1:4" s="412" customFormat="1" ht="36" customHeight="1">
      <c r="A14" s="1576">
        <v>9</v>
      </c>
      <c r="B14" s="1577" t="s">
        <v>1127</v>
      </c>
      <c r="C14" s="1572" t="s">
        <v>1244</v>
      </c>
      <c r="D14" s="1062">
        <v>34</v>
      </c>
    </row>
    <row r="15" spans="1:4" s="1061" customFormat="1" ht="36" customHeight="1">
      <c r="A15" s="1576">
        <v>10</v>
      </c>
      <c r="B15" s="1577" t="s">
        <v>1145</v>
      </c>
      <c r="C15" s="1578" t="s">
        <v>1245</v>
      </c>
      <c r="D15" s="1060">
        <v>37</v>
      </c>
    </row>
    <row r="16" spans="1:4" s="1061" customFormat="1" ht="22.5" customHeight="1">
      <c r="A16" s="1573">
        <v>11</v>
      </c>
      <c r="B16" s="1577" t="s">
        <v>1150</v>
      </c>
      <c r="C16" s="1578" t="s">
        <v>1246</v>
      </c>
      <c r="D16" s="1060">
        <v>39</v>
      </c>
    </row>
    <row r="17" spans="1:4" s="1061" customFormat="1" ht="22.5" customHeight="1">
      <c r="A17" s="1576">
        <v>12</v>
      </c>
      <c r="B17" s="1577" t="s">
        <v>1109</v>
      </c>
      <c r="C17" s="1578" t="s">
        <v>1247</v>
      </c>
      <c r="D17" s="1060">
        <v>41</v>
      </c>
    </row>
    <row r="18" spans="1:4" s="1061" customFormat="1" ht="22.5" customHeight="1">
      <c r="A18" s="1573">
        <v>13</v>
      </c>
      <c r="B18" s="1577" t="s">
        <v>1106</v>
      </c>
      <c r="C18" s="1578" t="s">
        <v>1236</v>
      </c>
      <c r="D18" s="1060">
        <v>42</v>
      </c>
    </row>
    <row r="19" spans="1:4" s="1061" customFormat="1" ht="22.5" customHeight="1">
      <c r="A19" s="1576">
        <v>14</v>
      </c>
      <c r="B19" s="1577" t="s">
        <v>1099</v>
      </c>
      <c r="C19" s="1578" t="s">
        <v>1237</v>
      </c>
      <c r="D19" s="1060">
        <v>44</v>
      </c>
    </row>
    <row r="20" spans="1:4" s="1061" customFormat="1" ht="22.5" customHeight="1">
      <c r="A20" s="1573">
        <v>15</v>
      </c>
      <c r="B20" s="1577" t="s">
        <v>1242</v>
      </c>
      <c r="C20" s="1578" t="s">
        <v>1238</v>
      </c>
      <c r="D20" s="1060"/>
    </row>
    <row r="21" spans="1:4" s="1061" customFormat="1" ht="22.5" customHeight="1">
      <c r="A21" s="1576">
        <v>16</v>
      </c>
      <c r="B21" s="1577" t="s">
        <v>1037</v>
      </c>
      <c r="C21" s="1579" t="s">
        <v>1239</v>
      </c>
      <c r="D21" s="1060">
        <v>65</v>
      </c>
    </row>
    <row r="22" spans="1:4" s="1061" customFormat="1" ht="35.450000000000003" customHeight="1">
      <c r="A22" s="1573">
        <v>17</v>
      </c>
      <c r="B22" s="1577" t="s">
        <v>1036</v>
      </c>
      <c r="C22" s="1578" t="s">
        <v>1248</v>
      </c>
      <c r="D22" s="1060"/>
    </row>
    <row r="23" spans="1:4" s="46" customFormat="1" ht="24" customHeight="1">
      <c r="A23" s="1576">
        <v>18</v>
      </c>
      <c r="B23" s="1580" t="s">
        <v>934</v>
      </c>
      <c r="C23" s="1581" t="s">
        <v>1240</v>
      </c>
    </row>
    <row r="24" spans="1:4" s="412" customFormat="1" ht="24" customHeight="1">
      <c r="A24" s="1573">
        <v>19</v>
      </c>
      <c r="B24" s="1582" t="s">
        <v>935</v>
      </c>
      <c r="C24" s="1577" t="s">
        <v>1241</v>
      </c>
    </row>
  </sheetData>
  <mergeCells count="3">
    <mergeCell ref="A1:C1"/>
    <mergeCell ref="A2:C2"/>
    <mergeCell ref="A3:C3"/>
  </mergeCells>
  <phoneticPr fontId="31" type="noConversion"/>
  <pageMargins left="0.87" right="0.2" top="0.47" bottom="0.25" header="0.41" footer="0.23"/>
  <pageSetup paperSize="9" scale="95"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0"/>
  </sheetPr>
  <dimension ref="A1:H40"/>
  <sheetViews>
    <sheetView view="pageBreakPreview" zoomScale="85" zoomScaleNormal="130" zoomScaleSheetLayoutView="85" workbookViewId="0">
      <pane ySplit="6" topLeftCell="A14" activePane="bottomLeft" state="frozen"/>
      <selection pane="bottomLeft" activeCell="A4" sqref="A4"/>
    </sheetView>
  </sheetViews>
  <sheetFormatPr defaultColWidth="9.28515625" defaultRowHeight="15"/>
  <cols>
    <col min="1" max="1" width="6.28515625" style="28" customWidth="1"/>
    <col min="2" max="2" width="30.28515625" style="28" customWidth="1"/>
    <col min="3" max="3" width="15.28515625" style="57" customWidth="1"/>
    <col min="4" max="4" width="16" style="57" customWidth="1"/>
    <col min="5" max="5" width="15.42578125" style="28" customWidth="1"/>
    <col min="6" max="6" width="9" style="28" customWidth="1"/>
    <col min="7" max="7" width="17.5703125" style="28" customWidth="1"/>
    <col min="8" max="8" width="13.28515625" style="28" bestFit="1" customWidth="1"/>
    <col min="9" max="16384" width="9.28515625" style="28"/>
  </cols>
  <sheetData>
    <row r="1" spans="1:7" s="751" customFormat="1" ht="21.75" customHeight="1">
      <c r="A1" s="1583" t="s">
        <v>972</v>
      </c>
      <c r="C1" s="750"/>
      <c r="D1" s="1771" t="s">
        <v>1423</v>
      </c>
      <c r="E1" s="1771"/>
      <c r="F1" s="1771"/>
    </row>
    <row r="2" spans="1:7" s="751" customFormat="1" ht="24" customHeight="1">
      <c r="A2" s="1772" t="s">
        <v>973</v>
      </c>
      <c r="B2" s="1772"/>
      <c r="C2" s="1772"/>
      <c r="D2" s="1772"/>
      <c r="E2" s="1772"/>
      <c r="F2" s="1772"/>
    </row>
    <row r="3" spans="1:7" s="751" customFormat="1" ht="24" customHeight="1">
      <c r="A3" s="1775" t="str">
        <f>+'PHỤ LỤC'!A3:C3</f>
        <v>(Kèm theo Báo cáo số 151/BC-UBND ngày 20/3/2026 của UBND xã Cường Lợi)</v>
      </c>
      <c r="B3" s="1775"/>
      <c r="C3" s="1775"/>
      <c r="D3" s="1775"/>
      <c r="E3" s="1775"/>
      <c r="F3" s="1775"/>
    </row>
    <row r="4" spans="1:7" ht="15.75">
      <c r="F4" s="84" t="s">
        <v>290</v>
      </c>
    </row>
    <row r="5" spans="1:7" ht="15.75">
      <c r="A5" s="1773" t="s">
        <v>291</v>
      </c>
      <c r="B5" s="1773" t="s">
        <v>292</v>
      </c>
      <c r="C5" s="1774" t="s">
        <v>293</v>
      </c>
      <c r="D5" s="1774" t="s">
        <v>136</v>
      </c>
      <c r="E5" s="1773" t="s">
        <v>137</v>
      </c>
      <c r="F5" s="1773"/>
    </row>
    <row r="6" spans="1:7" ht="31.5">
      <c r="A6" s="1773"/>
      <c r="B6" s="1773"/>
      <c r="C6" s="1774"/>
      <c r="D6" s="1774"/>
      <c r="E6" s="83" t="s">
        <v>138</v>
      </c>
      <c r="F6" s="83" t="s">
        <v>187</v>
      </c>
    </row>
    <row r="7" spans="1:7" s="81" customFormat="1" ht="17.25" customHeight="1">
      <c r="A7" s="947" t="s">
        <v>294</v>
      </c>
      <c r="B7" s="947" t="s">
        <v>295</v>
      </c>
      <c r="C7" s="947">
        <v>1</v>
      </c>
      <c r="D7" s="947">
        <v>2</v>
      </c>
      <c r="E7" s="947" t="s">
        <v>206</v>
      </c>
      <c r="F7" s="947" t="s">
        <v>188</v>
      </c>
    </row>
    <row r="8" spans="1:7" s="211" customFormat="1" ht="20.25" customHeight="1">
      <c r="A8" s="1019" t="s">
        <v>294</v>
      </c>
      <c r="B8" s="1020" t="s">
        <v>189</v>
      </c>
      <c r="C8" s="1021">
        <f>C9+C12+C15+C16+C17</f>
        <v>76858</v>
      </c>
      <c r="D8" s="1022">
        <f>D9+D12+D15+D16+D17</f>
        <v>104008.109537</v>
      </c>
      <c r="E8" s="1023">
        <f>D8-C8</f>
        <v>27150.109536999997</v>
      </c>
      <c r="F8" s="1024">
        <f t="shared" ref="F8:F12" si="0">D8/C8*100</f>
        <v>135.32502737125606</v>
      </c>
      <c r="G8" s="950"/>
    </row>
    <row r="9" spans="1:7" s="211" customFormat="1" ht="30" customHeight="1">
      <c r="A9" s="1019" t="s">
        <v>296</v>
      </c>
      <c r="B9" s="1020" t="s">
        <v>378</v>
      </c>
      <c r="C9" s="1021">
        <f>SUM(C10:C11)</f>
        <v>0</v>
      </c>
      <c r="D9" s="1022">
        <f>SUM(D10:D11)</f>
        <v>1.5</v>
      </c>
      <c r="E9" s="1023">
        <f t="shared" ref="E9:E25" si="1">D9-C9</f>
        <v>1.5</v>
      </c>
      <c r="F9" s="1024"/>
      <c r="G9" s="949"/>
    </row>
    <row r="10" spans="1:7" s="31" customFormat="1" ht="20.25" customHeight="1">
      <c r="A10" s="1025" t="s">
        <v>71</v>
      </c>
      <c r="B10" s="1026" t="s">
        <v>190</v>
      </c>
      <c r="C10" s="1027">
        <v>0</v>
      </c>
      <c r="D10" s="1028">
        <v>1.5</v>
      </c>
      <c r="E10" s="1029">
        <f t="shared" si="1"/>
        <v>1.5</v>
      </c>
      <c r="F10" s="1030"/>
    </row>
    <row r="11" spans="1:7" s="31" customFormat="1" ht="30" customHeight="1">
      <c r="A11" s="1025" t="s">
        <v>71</v>
      </c>
      <c r="B11" s="1031" t="s">
        <v>468</v>
      </c>
      <c r="C11" s="1027">
        <v>0</v>
      </c>
      <c r="D11" s="1028"/>
      <c r="E11" s="1029">
        <f t="shared" si="1"/>
        <v>0</v>
      </c>
      <c r="F11" s="1030"/>
    </row>
    <row r="12" spans="1:7" s="211" customFormat="1" ht="30" customHeight="1">
      <c r="A12" s="1019" t="s">
        <v>139</v>
      </c>
      <c r="B12" s="1020" t="s">
        <v>469</v>
      </c>
      <c r="C12" s="1021">
        <f>C13+C14</f>
        <v>76858</v>
      </c>
      <c r="D12" s="1022">
        <f>D13+D14</f>
        <v>97826.807253999999</v>
      </c>
      <c r="E12" s="1023">
        <f t="shared" si="1"/>
        <v>20968.807253999999</v>
      </c>
      <c r="F12" s="1024">
        <f t="shared" si="0"/>
        <v>127.28253045096152</v>
      </c>
      <c r="G12" s="950"/>
    </row>
    <row r="13" spans="1:7" s="31" customFormat="1" ht="18.75" customHeight="1">
      <c r="A13" s="1025">
        <v>1</v>
      </c>
      <c r="B13" s="1026" t="s">
        <v>371</v>
      </c>
      <c r="C13" s="1027">
        <v>63393</v>
      </c>
      <c r="D13" s="1028">
        <v>61717.746266000002</v>
      </c>
      <c r="E13" s="1029">
        <f t="shared" si="1"/>
        <v>-1675.2537339999981</v>
      </c>
      <c r="F13" s="1030">
        <f>D13/C13*100</f>
        <v>97.357352177685243</v>
      </c>
      <c r="G13" s="1014"/>
    </row>
    <row r="14" spans="1:7" s="31" customFormat="1" ht="18.75" customHeight="1">
      <c r="A14" s="1025">
        <v>2</v>
      </c>
      <c r="B14" s="1026" t="s">
        <v>372</v>
      </c>
      <c r="C14" s="1027">
        <v>13465</v>
      </c>
      <c r="D14" s="1028">
        <v>36109.060987999997</v>
      </c>
      <c r="E14" s="1029">
        <f t="shared" si="1"/>
        <v>22644.060987999997</v>
      </c>
      <c r="F14" s="1030">
        <f>D14/C14*100</f>
        <v>268.16978082435946</v>
      </c>
    </row>
    <row r="15" spans="1:7" s="211" customFormat="1" ht="18.75" customHeight="1">
      <c r="A15" s="1019" t="s">
        <v>62</v>
      </c>
      <c r="B15" s="1020" t="s">
        <v>440</v>
      </c>
      <c r="C15" s="1021"/>
      <c r="D15" s="1022"/>
      <c r="E15" s="1023">
        <f t="shared" si="1"/>
        <v>0</v>
      </c>
      <c r="F15" s="1024"/>
      <c r="G15" s="1013"/>
    </row>
    <row r="16" spans="1:7" s="211" customFormat="1" ht="18.75" customHeight="1">
      <c r="A16" s="1019" t="s">
        <v>67</v>
      </c>
      <c r="B16" s="1020" t="s">
        <v>373</v>
      </c>
      <c r="C16" s="1021"/>
      <c r="D16" s="1022">
        <v>179.822</v>
      </c>
      <c r="E16" s="1023">
        <f>D16-C16</f>
        <v>179.822</v>
      </c>
      <c r="F16" s="1024"/>
    </row>
    <row r="17" spans="1:8" s="211" customFormat="1" ht="28.5" customHeight="1">
      <c r="A17" s="1019" t="s">
        <v>234</v>
      </c>
      <c r="B17" s="1032" t="s">
        <v>374</v>
      </c>
      <c r="C17" s="1021"/>
      <c r="D17" s="1022">
        <v>5999.9802829999999</v>
      </c>
      <c r="E17" s="1023">
        <f t="shared" si="1"/>
        <v>5999.9802829999999</v>
      </c>
      <c r="F17" s="1024"/>
    </row>
    <row r="18" spans="1:8" s="211" customFormat="1" ht="18.75" customHeight="1">
      <c r="A18" s="1019" t="s">
        <v>295</v>
      </c>
      <c r="B18" s="1020" t="s">
        <v>339</v>
      </c>
      <c r="C18" s="1021">
        <f>C19+C26+C31+C33</f>
        <v>76858</v>
      </c>
      <c r="D18" s="1021">
        <f>D19+D26+D31+D32</f>
        <v>103957.14597600001</v>
      </c>
      <c r="E18" s="1023">
        <f t="shared" si="1"/>
        <v>27099.145976000014</v>
      </c>
      <c r="F18" s="1024">
        <f t="shared" ref="F18:F21" si="2">D18/C18*100</f>
        <v>135.2587186447735</v>
      </c>
    </row>
    <row r="19" spans="1:8" s="211" customFormat="1" ht="18.75" customHeight="1">
      <c r="A19" s="1019" t="s">
        <v>296</v>
      </c>
      <c r="B19" s="1020" t="s">
        <v>470</v>
      </c>
      <c r="C19" s="1021">
        <f>SUM(C20:C25)</f>
        <v>63393</v>
      </c>
      <c r="D19" s="1021">
        <f>SUM(D20:D25)</f>
        <v>57066.120655000006</v>
      </c>
      <c r="E19" s="1023">
        <f t="shared" si="1"/>
        <v>-6326.8793449999939</v>
      </c>
      <c r="F19" s="1024">
        <f t="shared" si="2"/>
        <v>90.019593101762027</v>
      </c>
      <c r="G19" s="950"/>
      <c r="H19" s="949"/>
    </row>
    <row r="20" spans="1:8" s="31" customFormat="1" ht="18.75" customHeight="1">
      <c r="A20" s="1025">
        <v>1</v>
      </c>
      <c r="B20" s="1026" t="s">
        <v>75</v>
      </c>
      <c r="C20" s="1027">
        <v>498</v>
      </c>
      <c r="D20" s="1027">
        <f>+'51'!D9</f>
        <v>3916.709942</v>
      </c>
      <c r="E20" s="1029">
        <f t="shared" si="1"/>
        <v>3418.709942</v>
      </c>
      <c r="F20" s="1030">
        <f t="shared" si="2"/>
        <v>786.48794016064255</v>
      </c>
    </row>
    <row r="21" spans="1:8" s="31" customFormat="1" ht="18.75" customHeight="1">
      <c r="A21" s="1025">
        <v>2</v>
      </c>
      <c r="B21" s="1026" t="s">
        <v>446</v>
      </c>
      <c r="C21" s="1027">
        <v>61745</v>
      </c>
      <c r="D21" s="1027">
        <f>+'51'!D19</f>
        <v>52042.801893000003</v>
      </c>
      <c r="E21" s="1029">
        <f t="shared" si="1"/>
        <v>-9702.1981069999965</v>
      </c>
      <c r="F21" s="1030">
        <f t="shared" si="2"/>
        <v>84.286665953518508</v>
      </c>
    </row>
    <row r="22" spans="1:8" s="31" customFormat="1" ht="28.5" customHeight="1">
      <c r="A22" s="1025">
        <v>3</v>
      </c>
      <c r="B22" s="1031" t="s">
        <v>471</v>
      </c>
      <c r="C22" s="1027"/>
      <c r="D22" s="1027"/>
      <c r="E22" s="1029">
        <f t="shared" si="1"/>
        <v>0</v>
      </c>
      <c r="F22" s="1030"/>
    </row>
    <row r="23" spans="1:8" s="31" customFormat="1" ht="28.5" customHeight="1">
      <c r="A23" s="1025">
        <v>4</v>
      </c>
      <c r="B23" s="1031" t="s">
        <v>78</v>
      </c>
      <c r="C23" s="1027"/>
      <c r="D23" s="1027"/>
      <c r="E23" s="1029"/>
      <c r="F23" s="1030"/>
    </row>
    <row r="24" spans="1:8" s="31" customFormat="1" ht="19.5" customHeight="1">
      <c r="A24" s="1025">
        <v>5</v>
      </c>
      <c r="B24" s="1026" t="s">
        <v>376</v>
      </c>
      <c r="C24" s="1027">
        <v>1150</v>
      </c>
      <c r="D24" s="1027">
        <f>+'51'!D25</f>
        <v>1106.6088199999999</v>
      </c>
      <c r="E24" s="1029">
        <f t="shared" si="1"/>
        <v>-43.391180000000077</v>
      </c>
      <c r="F24" s="1030"/>
    </row>
    <row r="25" spans="1:8" s="31" customFormat="1" ht="19.5" customHeight="1">
      <c r="A25" s="1025">
        <v>6</v>
      </c>
      <c r="B25" s="1026" t="s">
        <v>472</v>
      </c>
      <c r="C25" s="1027"/>
      <c r="D25" s="1027"/>
      <c r="E25" s="1029">
        <f t="shared" si="1"/>
        <v>0</v>
      </c>
      <c r="F25" s="1030"/>
    </row>
    <row r="26" spans="1:8" s="211" customFormat="1" ht="19.5" customHeight="1">
      <c r="A26" s="1019" t="s">
        <v>139</v>
      </c>
      <c r="B26" s="1020" t="s">
        <v>473</v>
      </c>
      <c r="C26" s="1021">
        <f>+C27+C30</f>
        <v>13465</v>
      </c>
      <c r="D26" s="1021">
        <f>+D27+D30</f>
        <v>39186.479913999996</v>
      </c>
      <c r="E26" s="1021">
        <f t="shared" ref="E26" si="3">+E27+E30</f>
        <v>25721.479914</v>
      </c>
      <c r="F26" s="1024">
        <f t="shared" ref="F26:F30" si="4">D26/C26*100</f>
        <v>291.0247301448199</v>
      </c>
    </row>
    <row r="27" spans="1:8" s="31" customFormat="1" ht="30" customHeight="1">
      <c r="A27" s="1037">
        <v>1</v>
      </c>
      <c r="B27" s="1743" t="s">
        <v>474</v>
      </c>
      <c r="C27" s="1027">
        <f>13465-322</f>
        <v>13143</v>
      </c>
      <c r="D27" s="1027">
        <v>19260.136054999999</v>
      </c>
      <c r="E27" s="1029">
        <f>D27-C27</f>
        <v>6117.136054999999</v>
      </c>
      <c r="F27" s="1030">
        <f t="shared" si="4"/>
        <v>146.54292060412385</v>
      </c>
    </row>
    <row r="28" spans="1:8" s="31" customFormat="1" ht="19.5" hidden="1" customHeight="1">
      <c r="A28" s="1025" t="s">
        <v>60</v>
      </c>
      <c r="B28" s="1033" t="s">
        <v>59</v>
      </c>
      <c r="C28" s="1027">
        <f>5703+499</f>
        <v>6202</v>
      </c>
      <c r="D28" s="1027">
        <f>+'51'!D31+'51'!D34+'51'!D37</f>
        <v>9270.3579040000004</v>
      </c>
      <c r="E28" s="1029">
        <f>D28-C28</f>
        <v>3068.3579040000004</v>
      </c>
      <c r="F28" s="1030">
        <f t="shared" si="4"/>
        <v>149.47368435988392</v>
      </c>
    </row>
    <row r="29" spans="1:8" s="31" customFormat="1" ht="19.5" hidden="1" customHeight="1">
      <c r="A29" s="1025" t="s">
        <v>60</v>
      </c>
      <c r="B29" s="1033" t="s">
        <v>107</v>
      </c>
      <c r="C29" s="1027">
        <f>+C27-C28</f>
        <v>6941</v>
      </c>
      <c r="D29" s="1027">
        <f>+'51'!D32+'51'!D35+'51'!D38</f>
        <v>9989.7781510000004</v>
      </c>
      <c r="E29" s="1029">
        <f>D29-C29</f>
        <v>3048.7781510000004</v>
      </c>
      <c r="F29" s="1030">
        <f t="shared" si="4"/>
        <v>143.92419177351968</v>
      </c>
    </row>
    <row r="30" spans="1:8" s="31" customFormat="1" ht="30.75" customHeight="1">
      <c r="A30" s="1037">
        <v>2</v>
      </c>
      <c r="B30" s="1026" t="s">
        <v>986</v>
      </c>
      <c r="C30" s="1027">
        <v>322</v>
      </c>
      <c r="D30" s="1027">
        <f>+'51'!D39+'51'!D41</f>
        <v>19926.343859000001</v>
      </c>
      <c r="E30" s="1029">
        <f>D30-C30</f>
        <v>19604.343859000001</v>
      </c>
      <c r="F30" s="1030">
        <f t="shared" si="4"/>
        <v>6188.3055462732918</v>
      </c>
    </row>
    <row r="31" spans="1:8" s="211" customFormat="1" ht="19.5" customHeight="1">
      <c r="A31" s="548" t="s">
        <v>62</v>
      </c>
      <c r="B31" s="1744" t="s">
        <v>377</v>
      </c>
      <c r="C31" s="1021">
        <f>+C17</f>
        <v>0</v>
      </c>
      <c r="D31" s="1021">
        <v>7524.422407</v>
      </c>
      <c r="E31" s="1023"/>
      <c r="F31" s="1024"/>
    </row>
    <row r="32" spans="1:8" s="211" customFormat="1" ht="19.5" customHeight="1">
      <c r="A32" s="1017" t="s">
        <v>63</v>
      </c>
      <c r="B32" s="1018" t="s">
        <v>329</v>
      </c>
      <c r="C32" s="1021"/>
      <c r="D32" s="1021">
        <v>180.12299999999999</v>
      </c>
      <c r="E32" s="1023"/>
      <c r="F32" s="1024"/>
    </row>
    <row r="33" spans="1:6" ht="25.5">
      <c r="A33" s="1017" t="s">
        <v>229</v>
      </c>
      <c r="B33" s="1018" t="s">
        <v>976</v>
      </c>
      <c r="C33" s="1021"/>
      <c r="D33" s="1021">
        <v>50.963560999999999</v>
      </c>
      <c r="E33" s="1023"/>
      <c r="F33" s="1035"/>
    </row>
    <row r="34" spans="1:6">
      <c r="A34" s="1017" t="s">
        <v>379</v>
      </c>
      <c r="B34" s="1018" t="s">
        <v>977</v>
      </c>
      <c r="C34" s="1034"/>
      <c r="D34" s="1034"/>
      <c r="E34" s="1023">
        <f t="shared" ref="E34:E36" si="5">D34-C34</f>
        <v>0</v>
      </c>
      <c r="F34" s="1035"/>
    </row>
    <row r="35" spans="1:6">
      <c r="A35" s="1017" t="s">
        <v>296</v>
      </c>
      <c r="B35" s="1018" t="s">
        <v>978</v>
      </c>
      <c r="C35" s="1034"/>
      <c r="D35" s="1034"/>
      <c r="E35" s="1023">
        <f t="shared" si="5"/>
        <v>0</v>
      </c>
      <c r="F35" s="1035"/>
    </row>
    <row r="36" spans="1:6" ht="36" customHeight="1">
      <c r="A36" s="1017" t="s">
        <v>139</v>
      </c>
      <c r="B36" s="1018" t="s">
        <v>979</v>
      </c>
      <c r="C36" s="1034"/>
      <c r="D36" s="1034"/>
      <c r="E36" s="1023">
        <f t="shared" si="5"/>
        <v>0</v>
      </c>
      <c r="F36" s="1035"/>
    </row>
    <row r="37" spans="1:6">
      <c r="A37" s="1017" t="s">
        <v>124</v>
      </c>
      <c r="B37" s="1018" t="s">
        <v>980</v>
      </c>
      <c r="C37" s="1034"/>
      <c r="D37" s="1034"/>
      <c r="E37" s="1035"/>
      <c r="F37" s="1035"/>
    </row>
    <row r="38" spans="1:6">
      <c r="A38" s="1017" t="s">
        <v>296</v>
      </c>
      <c r="B38" s="1018" t="s">
        <v>981</v>
      </c>
      <c r="C38" s="1034"/>
      <c r="D38" s="1034"/>
      <c r="E38" s="1035"/>
      <c r="F38" s="1035"/>
    </row>
    <row r="39" spans="1:6">
      <c r="A39" s="1017" t="s">
        <v>139</v>
      </c>
      <c r="B39" s="1018" t="s">
        <v>982</v>
      </c>
      <c r="C39" s="1034"/>
      <c r="D39" s="1034"/>
      <c r="E39" s="1035"/>
      <c r="F39" s="1035"/>
    </row>
    <row r="40" spans="1:6" ht="25.5">
      <c r="A40" s="1017" t="s">
        <v>983</v>
      </c>
      <c r="B40" s="1018" t="s">
        <v>984</v>
      </c>
      <c r="C40" s="1034"/>
      <c r="D40" s="1034"/>
      <c r="E40" s="1035"/>
      <c r="F40" s="1035"/>
    </row>
  </sheetData>
  <mergeCells count="8">
    <mergeCell ref="D1:F1"/>
    <mergeCell ref="A2:F2"/>
    <mergeCell ref="A5:A6"/>
    <mergeCell ref="B5:B6"/>
    <mergeCell ref="C5:C6"/>
    <mergeCell ref="D5:D6"/>
    <mergeCell ref="E5:F5"/>
    <mergeCell ref="A3:F3"/>
  </mergeCells>
  <phoneticPr fontId="31" type="noConversion"/>
  <printOptions horizontalCentered="1"/>
  <pageMargins left="0" right="0" top="0.36" bottom="0.23" header="0.3" footer="0.23"/>
  <pageSetup paperSize="9" firstPageNumber="156" orientation="portrait" useFirstPageNumber="1"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0"/>
  </sheetPr>
  <dimension ref="A1:F48"/>
  <sheetViews>
    <sheetView zoomScaleNormal="100" workbookViewId="0">
      <pane ySplit="6" topLeftCell="A7" activePane="bottomLeft" state="frozen"/>
      <selection pane="bottomLeft" activeCell="D1" sqref="D1:E1"/>
    </sheetView>
  </sheetViews>
  <sheetFormatPr defaultColWidth="9.28515625" defaultRowHeight="15"/>
  <cols>
    <col min="1" max="1" width="6.42578125" style="28" customWidth="1"/>
    <col min="2" max="2" width="40" style="28" customWidth="1"/>
    <col min="3" max="3" width="16" style="57" customWidth="1"/>
    <col min="4" max="4" width="19.7109375" style="29" customWidth="1"/>
    <col min="5" max="5" width="11.28515625" style="28" customWidth="1"/>
    <col min="6" max="6" width="21.85546875" style="57" customWidth="1"/>
    <col min="7" max="7" width="11" style="28" customWidth="1"/>
    <col min="8" max="8" width="19.5703125" style="28" bestFit="1" customWidth="1"/>
    <col min="9" max="16384" width="9.28515625" style="28"/>
  </cols>
  <sheetData>
    <row r="1" spans="1:5" ht="22.5" customHeight="1">
      <c r="A1" s="214" t="str">
        <f>'48.QTCĐNSĐP'!A1</f>
        <v>UBND XÃ CƯỜNG LỢI</v>
      </c>
      <c r="D1" s="1777" t="s">
        <v>1424</v>
      </c>
      <c r="E1" s="1777"/>
    </row>
    <row r="2" spans="1:5" ht="33.6" customHeight="1">
      <c r="A2" s="1779" t="s">
        <v>993</v>
      </c>
      <c r="B2" s="1779"/>
      <c r="C2" s="1779"/>
      <c r="D2" s="1779"/>
      <c r="E2" s="1779"/>
    </row>
    <row r="3" spans="1:5" ht="24" customHeight="1">
      <c r="A3" s="1775" t="str">
        <f>+'48.QTCĐNSĐP'!A3:F3</f>
        <v>(Kèm theo Báo cáo số 151/BC-UBND ngày 20/3/2026 của UBND xã Cường Lợi)</v>
      </c>
      <c r="B3" s="1775"/>
      <c r="C3" s="1775"/>
      <c r="D3" s="1775"/>
      <c r="E3" s="1775"/>
    </row>
    <row r="4" spans="1:5" ht="15.75">
      <c r="E4" s="84" t="s">
        <v>290</v>
      </c>
    </row>
    <row r="5" spans="1:5" s="1043" customFormat="1" ht="39.75" customHeight="1">
      <c r="A5" s="1015" t="s">
        <v>291</v>
      </c>
      <c r="B5" s="1015" t="s">
        <v>292</v>
      </c>
      <c r="C5" s="1015" t="s">
        <v>293</v>
      </c>
      <c r="D5" s="1051" t="s">
        <v>136</v>
      </c>
      <c r="E5" s="1015" t="s">
        <v>158</v>
      </c>
    </row>
    <row r="6" spans="1:5" s="1045" customFormat="1" ht="14.25" customHeight="1">
      <c r="A6" s="1044" t="s">
        <v>294</v>
      </c>
      <c r="B6" s="1044" t="s">
        <v>295</v>
      </c>
      <c r="C6" s="1044">
        <v>1</v>
      </c>
      <c r="D6" s="1055">
        <v>2</v>
      </c>
      <c r="E6" s="1044">
        <v>3</v>
      </c>
    </row>
    <row r="7" spans="1:5" s="1040" customFormat="1" ht="22.5" customHeight="1">
      <c r="A7" s="1015" t="s">
        <v>294</v>
      </c>
      <c r="B7" s="1016" t="s">
        <v>994</v>
      </c>
      <c r="C7" s="1038">
        <f>+C8+C16</f>
        <v>0</v>
      </c>
      <c r="D7" s="1054">
        <f>+D8+D16</f>
        <v>0</v>
      </c>
      <c r="E7" s="1039"/>
    </row>
    <row r="8" spans="1:5" s="1041" customFormat="1" ht="20.25" customHeight="1">
      <c r="A8" s="1015" t="s">
        <v>296</v>
      </c>
      <c r="B8" s="1016" t="s">
        <v>159</v>
      </c>
      <c r="C8" s="1038">
        <f>+C9+C10+C13+C14+C15</f>
        <v>0</v>
      </c>
      <c r="D8" s="1054">
        <f>+D9+D10+D13+D14+D15</f>
        <v>0</v>
      </c>
      <c r="E8" s="1015"/>
    </row>
    <row r="9" spans="1:5" s="1040" customFormat="1" ht="20.25" customHeight="1">
      <c r="A9" s="1039">
        <v>1</v>
      </c>
      <c r="B9" s="1036" t="s">
        <v>160</v>
      </c>
      <c r="C9" s="1042"/>
      <c r="D9" s="1049"/>
      <c r="E9" s="1039"/>
    </row>
    <row r="10" spans="1:5" s="1040" customFormat="1" ht="20.25" customHeight="1">
      <c r="A10" s="1039">
        <v>2</v>
      </c>
      <c r="B10" s="1036" t="s">
        <v>240</v>
      </c>
      <c r="C10" s="1042"/>
      <c r="D10" s="1049"/>
      <c r="E10" s="1039"/>
    </row>
    <row r="11" spans="1:5" s="1040" customFormat="1" ht="20.25" customHeight="1">
      <c r="A11" s="1039" t="s">
        <v>71</v>
      </c>
      <c r="B11" s="1036" t="s">
        <v>161</v>
      </c>
      <c r="C11" s="1042"/>
      <c r="D11" s="1049"/>
      <c r="E11" s="1039"/>
    </row>
    <row r="12" spans="1:5" s="1040" customFormat="1" ht="20.25" customHeight="1">
      <c r="A12" s="1039" t="s">
        <v>71</v>
      </c>
      <c r="B12" s="1036" t="s">
        <v>47</v>
      </c>
      <c r="C12" s="1042"/>
      <c r="D12" s="1049"/>
      <c r="E12" s="1039"/>
    </row>
    <row r="13" spans="1:5" s="1040" customFormat="1" ht="20.25" customHeight="1">
      <c r="A13" s="1039">
        <v>3</v>
      </c>
      <c r="B13" s="1036" t="s">
        <v>988</v>
      </c>
      <c r="C13" s="1042"/>
      <c r="D13" s="1049"/>
      <c r="E13" s="1039"/>
    </row>
    <row r="14" spans="1:5" s="1040" customFormat="1" ht="20.25" customHeight="1">
      <c r="A14" s="1039">
        <v>4</v>
      </c>
      <c r="B14" s="1036" t="s">
        <v>373</v>
      </c>
      <c r="C14" s="1042"/>
      <c r="D14" s="1049"/>
      <c r="E14" s="1039"/>
    </row>
    <row r="15" spans="1:5" s="1040" customFormat="1" ht="20.25" customHeight="1">
      <c r="A15" s="1039">
        <v>5</v>
      </c>
      <c r="B15" s="1036" t="s">
        <v>374</v>
      </c>
      <c r="C15" s="1042"/>
      <c r="D15" s="1049"/>
      <c r="E15" s="1039"/>
    </row>
    <row r="16" spans="1:5" s="1040" customFormat="1" ht="20.25" customHeight="1">
      <c r="A16" s="1015" t="s">
        <v>139</v>
      </c>
      <c r="B16" s="1016" t="s">
        <v>162</v>
      </c>
      <c r="C16" s="1038">
        <f>+C17+C18+C21</f>
        <v>0</v>
      </c>
      <c r="D16" s="1053">
        <f>+D17+D18+D21</f>
        <v>0</v>
      </c>
      <c r="E16" s="1039"/>
    </row>
    <row r="17" spans="1:5" s="1040" customFormat="1" ht="20.25" customHeight="1">
      <c r="A17" s="1039">
        <v>1</v>
      </c>
      <c r="B17" s="1036" t="s">
        <v>367</v>
      </c>
      <c r="C17" s="1042">
        <f>+C8</f>
        <v>0</v>
      </c>
      <c r="D17" s="1049"/>
      <c r="E17" s="1039"/>
    </row>
    <row r="18" spans="1:5" s="1040" customFormat="1" ht="20.25" customHeight="1">
      <c r="A18" s="1039">
        <v>2</v>
      </c>
      <c r="B18" s="1036" t="s">
        <v>163</v>
      </c>
      <c r="C18" s="1042"/>
      <c r="D18" s="1049"/>
      <c r="E18" s="1039"/>
    </row>
    <row r="19" spans="1:5" s="1040" customFormat="1" ht="20.25" customHeight="1">
      <c r="A19" s="1039" t="s">
        <v>71</v>
      </c>
      <c r="B19" s="1036" t="s">
        <v>164</v>
      </c>
      <c r="C19" s="1042"/>
      <c r="D19" s="1049"/>
      <c r="E19" s="1039"/>
    </row>
    <row r="20" spans="1:5" s="1040" customFormat="1" ht="20.25" customHeight="1">
      <c r="A20" s="1039" t="s">
        <v>71</v>
      </c>
      <c r="B20" s="1036" t="s">
        <v>415</v>
      </c>
      <c r="C20" s="1042"/>
      <c r="D20" s="1049"/>
      <c r="E20" s="1039"/>
    </row>
    <row r="21" spans="1:5" s="1040" customFormat="1" ht="20.25" customHeight="1">
      <c r="A21" s="1039">
        <v>3</v>
      </c>
      <c r="B21" s="1036" t="s">
        <v>377</v>
      </c>
      <c r="C21" s="1042"/>
      <c r="D21" s="1049"/>
      <c r="E21" s="1039"/>
    </row>
    <row r="22" spans="1:5" s="1040" customFormat="1" ht="48.75" customHeight="1">
      <c r="A22" s="1015" t="s">
        <v>62</v>
      </c>
      <c r="B22" s="1016" t="s">
        <v>989</v>
      </c>
      <c r="C22" s="1042"/>
      <c r="D22" s="1049"/>
      <c r="E22" s="1039"/>
    </row>
    <row r="23" spans="1:5" s="1040" customFormat="1" ht="20.25" customHeight="1">
      <c r="A23" s="1015" t="s">
        <v>63</v>
      </c>
      <c r="B23" s="1016" t="s">
        <v>990</v>
      </c>
      <c r="C23" s="1042"/>
      <c r="D23" s="1049"/>
      <c r="E23" s="1039"/>
    </row>
    <row r="24" spans="1:5" s="1050" customFormat="1" ht="23.25" customHeight="1">
      <c r="A24" s="1051" t="s">
        <v>295</v>
      </c>
      <c r="B24" s="1052" t="s">
        <v>185</v>
      </c>
      <c r="C24" s="1054">
        <f>+C25</f>
        <v>76858</v>
      </c>
      <c r="D24" s="1054">
        <f>+D25</f>
        <v>104008.109537</v>
      </c>
      <c r="E24" s="1046"/>
    </row>
    <row r="25" spans="1:5" s="1056" customFormat="1" ht="20.25" customHeight="1">
      <c r="A25" s="1051" t="s">
        <v>296</v>
      </c>
      <c r="B25" s="1052" t="s">
        <v>159</v>
      </c>
      <c r="C25" s="1054">
        <f>+C26+C27+C30+C31</f>
        <v>76858</v>
      </c>
      <c r="D25" s="1054">
        <f>+D26+D27+D30+D31+D32</f>
        <v>104008.109537</v>
      </c>
      <c r="E25" s="1051"/>
    </row>
    <row r="26" spans="1:5" s="1050" customFormat="1" ht="20.25" customHeight="1">
      <c r="A26" s="1046">
        <v>1</v>
      </c>
      <c r="B26" s="1047" t="s">
        <v>160</v>
      </c>
      <c r="C26" s="1049"/>
      <c r="D26" s="1049">
        <v>1.5</v>
      </c>
      <c r="E26" s="1046"/>
    </row>
    <row r="27" spans="1:5" s="1050" customFormat="1" ht="20.25" customHeight="1">
      <c r="A27" s="1046">
        <v>2</v>
      </c>
      <c r="B27" s="1047" t="s">
        <v>240</v>
      </c>
      <c r="C27" s="1049">
        <f>SUM(C28:C29)</f>
        <v>76858</v>
      </c>
      <c r="D27" s="1049">
        <f>SUM(D28:D29)</f>
        <v>97826.807253999999</v>
      </c>
      <c r="E27" s="1046"/>
    </row>
    <row r="28" spans="1:5" s="1050" customFormat="1" ht="20.25" customHeight="1">
      <c r="A28" s="1046" t="s">
        <v>71</v>
      </c>
      <c r="B28" s="1047" t="s">
        <v>371</v>
      </c>
      <c r="C28" s="1049">
        <v>63393</v>
      </c>
      <c r="D28" s="1049">
        <v>61717.746266000002</v>
      </c>
      <c r="E28" s="1046"/>
    </row>
    <row r="29" spans="1:5" s="1050" customFormat="1" ht="20.25" customHeight="1">
      <c r="A29" s="1046" t="s">
        <v>71</v>
      </c>
      <c r="B29" s="1047" t="s">
        <v>372</v>
      </c>
      <c r="C29" s="1049">
        <v>13465</v>
      </c>
      <c r="D29" s="1049">
        <v>36109.060987999997</v>
      </c>
      <c r="E29" s="1046"/>
    </row>
    <row r="30" spans="1:5" s="1050" customFormat="1" ht="20.25" customHeight="1">
      <c r="A30" s="1046">
        <v>3</v>
      </c>
      <c r="B30" s="1047" t="s">
        <v>373</v>
      </c>
      <c r="C30" s="1049"/>
      <c r="D30" s="1049">
        <v>179.822</v>
      </c>
      <c r="E30" s="1046"/>
    </row>
    <row r="31" spans="1:5" s="1050" customFormat="1" ht="20.25" customHeight="1">
      <c r="A31" s="1046">
        <v>4</v>
      </c>
      <c r="B31" s="1047" t="s">
        <v>374</v>
      </c>
      <c r="C31" s="1049"/>
      <c r="D31" s="1049">
        <v>5999.9802829999999</v>
      </c>
      <c r="E31" s="1046"/>
    </row>
    <row r="32" spans="1:5" s="1050" customFormat="1" ht="20.25" customHeight="1">
      <c r="A32" s="1046">
        <v>5</v>
      </c>
      <c r="B32" s="1047" t="s">
        <v>991</v>
      </c>
      <c r="C32" s="1048"/>
      <c r="D32" s="1049">
        <v>0</v>
      </c>
      <c r="E32" s="1046"/>
    </row>
    <row r="33" spans="1:6" s="1050" customFormat="1" ht="20.25" customHeight="1">
      <c r="A33" s="1051" t="s">
        <v>139</v>
      </c>
      <c r="B33" s="1052" t="s">
        <v>162</v>
      </c>
      <c r="C33" s="1054">
        <f>+C34+C35+C38</f>
        <v>76858</v>
      </c>
      <c r="D33" s="1054">
        <f>+D34+D35+D38</f>
        <v>103957.145976</v>
      </c>
      <c r="E33" s="1046"/>
      <c r="F33" s="1057"/>
    </row>
    <row r="34" spans="1:6" s="1050" customFormat="1" ht="20.25" customHeight="1">
      <c r="A34" s="1046">
        <v>1</v>
      </c>
      <c r="B34" s="1047" t="s">
        <v>367</v>
      </c>
      <c r="C34" s="1049">
        <f>+C27</f>
        <v>76858</v>
      </c>
      <c r="D34" s="1049">
        <v>96432.723568999994</v>
      </c>
      <c r="E34" s="1046"/>
    </row>
    <row r="35" spans="1:6" s="1050" customFormat="1" ht="20.25" customHeight="1">
      <c r="A35" s="1046">
        <v>2</v>
      </c>
      <c r="B35" s="1047" t="s">
        <v>992</v>
      </c>
      <c r="C35" s="1048"/>
      <c r="D35" s="1049">
        <f>SUM(D36:D37)</f>
        <v>0</v>
      </c>
      <c r="E35" s="1046"/>
    </row>
    <row r="36" spans="1:6" s="1050" customFormat="1" ht="20.25" customHeight="1">
      <c r="A36" s="1046" t="s">
        <v>71</v>
      </c>
      <c r="B36" s="1047" t="s">
        <v>164</v>
      </c>
      <c r="C36" s="1048"/>
      <c r="D36" s="1049"/>
      <c r="E36" s="1046"/>
    </row>
    <row r="37" spans="1:6" s="1050" customFormat="1" ht="20.25" customHeight="1">
      <c r="A37" s="1046" t="s">
        <v>71</v>
      </c>
      <c r="B37" s="1047" t="s">
        <v>415</v>
      </c>
      <c r="C37" s="1048"/>
      <c r="D37" s="1049"/>
      <c r="E37" s="1046"/>
    </row>
    <row r="38" spans="1:6" s="1050" customFormat="1" ht="20.25" customHeight="1">
      <c r="A38" s="1046">
        <v>3</v>
      </c>
      <c r="B38" s="1047" t="s">
        <v>377</v>
      </c>
      <c r="C38" s="1048"/>
      <c r="D38" s="1049">
        <f>+'48.QTCĐNSĐP'!D31</f>
        <v>7524.422407</v>
      </c>
      <c r="E38" s="1046"/>
    </row>
    <row r="39" spans="1:6" s="1040" customFormat="1" ht="18.75" customHeight="1">
      <c r="A39" s="1015" t="s">
        <v>62</v>
      </c>
      <c r="B39" s="1016" t="s">
        <v>416</v>
      </c>
      <c r="C39" s="1038"/>
      <c r="D39" s="1054">
        <f>+'48.QTCĐNSĐP'!D33</f>
        <v>50.963560999999999</v>
      </c>
      <c r="E39" s="1039"/>
    </row>
    <row r="40" spans="1:6" ht="20.25" hidden="1" customHeight="1">
      <c r="C40" s="1780" t="s">
        <v>215</v>
      </c>
      <c r="D40" s="1780"/>
      <c r="E40" s="1780"/>
    </row>
    <row r="41" spans="1:6" ht="20.25" hidden="1" customHeight="1">
      <c r="C41" s="1778" t="s">
        <v>141</v>
      </c>
      <c r="D41" s="1778"/>
      <c r="E41" s="1778"/>
    </row>
    <row r="42" spans="1:6" hidden="1"/>
    <row r="43" spans="1:6" hidden="1"/>
    <row r="44" spans="1:6" hidden="1"/>
    <row r="45" spans="1:6" hidden="1"/>
    <row r="46" spans="1:6" hidden="1"/>
    <row r="47" spans="1:6" ht="18.75" hidden="1">
      <c r="C47" s="1776" t="e">
        <f>_xlfn.SINGLE('48.QTCĐNSĐP'!#REF!)</f>
        <v>#REF!</v>
      </c>
      <c r="D47" s="1776"/>
      <c r="E47" s="1776"/>
    </row>
    <row r="48" spans="1:6" hidden="1"/>
  </sheetData>
  <mergeCells count="6">
    <mergeCell ref="C47:E47"/>
    <mergeCell ref="D1:E1"/>
    <mergeCell ref="C41:E41"/>
    <mergeCell ref="A2:E2"/>
    <mergeCell ref="C40:E40"/>
    <mergeCell ref="A3:E3"/>
  </mergeCells>
  <phoneticPr fontId="31" type="noConversion"/>
  <pageMargins left="0.91" right="0.2" top="0.38" bottom="0.27" header="0.3" footer="0.23"/>
  <pageSetup paperSize="9" scale="95" firstPageNumber="157" orientation="portrait" useFirstPageNumber="1"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0"/>
  </sheetPr>
  <dimension ref="A1:J78"/>
  <sheetViews>
    <sheetView zoomScaleNormal="100" workbookViewId="0">
      <pane ySplit="7" topLeftCell="A65" activePane="bottomLeft" state="frozen"/>
      <selection pane="bottomLeft" activeCell="E9" sqref="E9"/>
    </sheetView>
  </sheetViews>
  <sheetFormatPr defaultColWidth="9.28515625" defaultRowHeight="15"/>
  <cols>
    <col min="1" max="1" width="4.5703125" style="33" customWidth="1"/>
    <col min="2" max="2" width="46.28515625" style="33" customWidth="1"/>
    <col min="3" max="3" width="15.5703125" style="26" customWidth="1"/>
    <col min="4" max="4" width="14.7109375" style="26" customWidth="1"/>
    <col min="5" max="5" width="18.28515625" style="33" customWidth="1"/>
    <col min="6" max="6" width="17.7109375" style="33" customWidth="1"/>
    <col min="7" max="7" width="10.42578125" style="26" customWidth="1"/>
    <col min="8" max="8" width="8.7109375" style="26" customWidth="1"/>
    <col min="9" max="9" width="19.5703125" style="62" customWidth="1"/>
    <col min="10" max="16384" width="9.28515625" style="33"/>
  </cols>
  <sheetData>
    <row r="1" spans="1:9" s="1585" customFormat="1" ht="21" customHeight="1">
      <c r="A1" s="1584" t="str">
        <f>'48.QTCĐNSĐP'!A1</f>
        <v>UBND XÃ CƯỜNG LỢI</v>
      </c>
      <c r="C1" s="1586"/>
      <c r="D1" s="1586"/>
      <c r="F1" s="1781" t="s">
        <v>1425</v>
      </c>
      <c r="G1" s="1781"/>
      <c r="H1" s="1781"/>
      <c r="I1" s="1587"/>
    </row>
    <row r="2" spans="1:9" s="1585" customFormat="1" ht="31.5" customHeight="1">
      <c r="A2" s="1782" t="s">
        <v>999</v>
      </c>
      <c r="B2" s="1782"/>
      <c r="C2" s="1782"/>
      <c r="D2" s="1782"/>
      <c r="E2" s="1782"/>
      <c r="F2" s="1782"/>
      <c r="G2" s="1782"/>
      <c r="H2" s="1782"/>
      <c r="I2" s="1587"/>
    </row>
    <row r="3" spans="1:9" ht="27" customHeight="1">
      <c r="A3" s="1749" t="str">
        <f>+'49'!A3:E3</f>
        <v>(Kèm theo Báo cáo số 151/BC-UBND ngày 20/3/2026 của UBND xã Cường Lợi)</v>
      </c>
      <c r="B3" s="1749"/>
      <c r="C3" s="1749"/>
      <c r="D3" s="1749"/>
      <c r="E3" s="1749"/>
      <c r="F3" s="1749"/>
      <c r="G3" s="1749"/>
      <c r="H3" s="1749"/>
    </row>
    <row r="4" spans="1:9" ht="15.75">
      <c r="F4" s="157"/>
      <c r="G4" s="1785" t="s">
        <v>69</v>
      </c>
      <c r="H4" s="1785"/>
    </row>
    <row r="5" spans="1:9" s="37" customFormat="1" ht="18" customHeight="1">
      <c r="A5" s="1783" t="s">
        <v>291</v>
      </c>
      <c r="B5" s="1783" t="s">
        <v>292</v>
      </c>
      <c r="C5" s="1784" t="s">
        <v>293</v>
      </c>
      <c r="D5" s="1784"/>
      <c r="E5" s="1783" t="s">
        <v>136</v>
      </c>
      <c r="F5" s="1783"/>
      <c r="G5" s="1784" t="s">
        <v>158</v>
      </c>
      <c r="H5" s="1784"/>
      <c r="I5" s="65"/>
    </row>
    <row r="6" spans="1:9" s="37" customFormat="1" ht="25.5">
      <c r="A6" s="1783"/>
      <c r="B6" s="1783"/>
      <c r="C6" s="156" t="s">
        <v>417</v>
      </c>
      <c r="D6" s="156" t="s">
        <v>418</v>
      </c>
      <c r="E6" s="103" t="s">
        <v>417</v>
      </c>
      <c r="F6" s="103" t="s">
        <v>418</v>
      </c>
      <c r="G6" s="156" t="s">
        <v>417</v>
      </c>
      <c r="H6" s="156" t="s">
        <v>418</v>
      </c>
      <c r="I6" s="65"/>
    </row>
    <row r="7" spans="1:9" s="181" customFormat="1" ht="12.75">
      <c r="A7" s="796" t="s">
        <v>294</v>
      </c>
      <c r="B7" s="796" t="s">
        <v>295</v>
      </c>
      <c r="C7" s="797">
        <v>1</v>
      </c>
      <c r="D7" s="798">
        <v>2</v>
      </c>
      <c r="E7" s="796">
        <v>3</v>
      </c>
      <c r="F7" s="796">
        <v>4</v>
      </c>
      <c r="G7" s="799" t="s">
        <v>419</v>
      </c>
      <c r="H7" s="799" t="s">
        <v>420</v>
      </c>
      <c r="I7" s="800"/>
    </row>
    <row r="8" spans="1:9" s="37" customFormat="1" ht="18" customHeight="1">
      <c r="A8" s="158"/>
      <c r="B8" s="159" t="s">
        <v>421</v>
      </c>
      <c r="C8" s="160">
        <f>C9+C62+C65+C66</f>
        <v>80958</v>
      </c>
      <c r="D8" s="160">
        <f>D9+D62+D65+D66</f>
        <v>76858</v>
      </c>
      <c r="E8" s="161">
        <f>E9+E62+E65+E66</f>
        <v>105624.75633399999</v>
      </c>
      <c r="F8" s="161">
        <f>F9+F62+F65+F66</f>
        <v>104008.109537</v>
      </c>
      <c r="G8" s="160">
        <f t="shared" ref="G8:H10" si="0">E8/C8*100</f>
        <v>130.46858412263148</v>
      </c>
      <c r="H8" s="160">
        <f t="shared" si="0"/>
        <v>135.32502737125606</v>
      </c>
      <c r="I8" s="40"/>
    </row>
    <row r="9" spans="1:9" s="37" customFormat="1" ht="23.25" customHeight="1">
      <c r="A9" s="38" t="s">
        <v>294</v>
      </c>
      <c r="B9" s="162" t="s">
        <v>109</v>
      </c>
      <c r="C9" s="163">
        <f>C10+C52+C53+C60+C61</f>
        <v>4100</v>
      </c>
      <c r="D9" s="163">
        <f>D10+D52+D53+D60+D61</f>
        <v>0</v>
      </c>
      <c r="E9" s="172">
        <f>E10+E52+E53+E60+E61</f>
        <v>1618.1467970000001</v>
      </c>
      <c r="F9" s="172">
        <f>F10+F52+F53+F60+F61</f>
        <v>1.5</v>
      </c>
      <c r="G9" s="163">
        <f t="shared" si="0"/>
        <v>39.46699504878049</v>
      </c>
      <c r="H9" s="163"/>
      <c r="I9" s="178"/>
    </row>
    <row r="10" spans="1:9" s="37" customFormat="1" ht="18" customHeight="1">
      <c r="A10" s="38" t="s">
        <v>296</v>
      </c>
      <c r="B10" s="162" t="s">
        <v>297</v>
      </c>
      <c r="C10" s="163">
        <f>C11+C17+C22+C23+C29+C30+C33+C34+C39+C40+C41+C42+C43+C44+C45+C46+C47+C48+C49+C50+C51</f>
        <v>4100</v>
      </c>
      <c r="D10" s="163">
        <f>D11+D17+D22+D23+D29+D30+D33+D34+D39+D40+D41+D42+D43+D44+D45+D46+D47+D48+D49+D50+D51</f>
        <v>0</v>
      </c>
      <c r="E10" s="172">
        <f>E11+E17+E23+E29+E30+E33+E34+E39+E40+E42+E41+E43+E44+E45+E46+E47+E48+E49+E50+E51</f>
        <v>1618.1467970000001</v>
      </c>
      <c r="F10" s="172">
        <f>F11+F17+F23+F29+F30+F33+F34+F39+F40+F42+F41+F43+F44+F45+F46+F47+F48+F49+F50+F51</f>
        <v>1.5</v>
      </c>
      <c r="G10" s="163">
        <f t="shared" si="0"/>
        <v>39.46699504878049</v>
      </c>
      <c r="H10" s="163"/>
      <c r="I10" s="40"/>
    </row>
    <row r="11" spans="1:9" s="41" customFormat="1" ht="18" customHeight="1">
      <c r="A11" s="38">
        <v>1</v>
      </c>
      <c r="B11" s="162" t="s">
        <v>605</v>
      </c>
      <c r="C11" s="164">
        <f>SUM(C12:C16)</f>
        <v>0</v>
      </c>
      <c r="D11" s="164">
        <f>SUM(D12:D16)</f>
        <v>0</v>
      </c>
      <c r="E11" s="165">
        <f>SUM(E12:E16)</f>
        <v>0</v>
      </c>
      <c r="F11" s="165">
        <f>SUM(F12:F16)</f>
        <v>0</v>
      </c>
      <c r="G11" s="163"/>
      <c r="H11" s="163"/>
      <c r="I11" s="166"/>
    </row>
    <row r="12" spans="1:9" s="37" customFormat="1" ht="18" customHeight="1">
      <c r="A12" s="155"/>
      <c r="B12" s="168" t="s">
        <v>95</v>
      </c>
      <c r="C12" s="169"/>
      <c r="D12" s="45"/>
      <c r="E12" s="170"/>
      <c r="F12" s="170"/>
      <c r="G12" s="45"/>
      <c r="H12" s="45"/>
      <c r="I12" s="40"/>
    </row>
    <row r="13" spans="1:9" s="37" customFormat="1" ht="18" customHeight="1">
      <c r="A13" s="155"/>
      <c r="B13" s="168" t="s">
        <v>94</v>
      </c>
      <c r="C13" s="169"/>
      <c r="D13" s="45">
        <f t="shared" ref="D13:D66" si="1">C13</f>
        <v>0</v>
      </c>
      <c r="E13" s="170"/>
      <c r="F13" s="170"/>
      <c r="G13" s="45"/>
      <c r="H13" s="45"/>
      <c r="I13" s="65"/>
    </row>
    <row r="14" spans="1:9" s="37" customFormat="1" ht="18" customHeight="1">
      <c r="A14" s="155"/>
      <c r="B14" s="168" t="s">
        <v>92</v>
      </c>
      <c r="C14" s="169"/>
      <c r="D14" s="45"/>
      <c r="E14" s="170"/>
      <c r="F14" s="170"/>
      <c r="G14" s="45"/>
      <c r="H14" s="45"/>
      <c r="I14" s="65"/>
    </row>
    <row r="15" spans="1:9" s="37" customFormat="1" ht="18" customHeight="1">
      <c r="A15" s="155"/>
      <c r="B15" s="168" t="s">
        <v>89</v>
      </c>
      <c r="C15" s="169"/>
      <c r="D15" s="45"/>
      <c r="E15" s="170"/>
      <c r="F15" s="170"/>
      <c r="G15" s="45"/>
      <c r="H15" s="45"/>
      <c r="I15" s="65"/>
    </row>
    <row r="16" spans="1:9" s="37" customFormat="1" ht="18" customHeight="1">
      <c r="A16" s="155"/>
      <c r="B16" s="168" t="s">
        <v>90</v>
      </c>
      <c r="C16" s="169"/>
      <c r="D16" s="45"/>
      <c r="E16" s="170"/>
      <c r="F16" s="170"/>
      <c r="G16" s="45"/>
      <c r="H16" s="45"/>
      <c r="I16" s="65"/>
    </row>
    <row r="17" spans="1:9" s="41" customFormat="1" ht="18" customHeight="1">
      <c r="A17" s="38">
        <v>2</v>
      </c>
      <c r="B17" s="162" t="s">
        <v>606</v>
      </c>
      <c r="C17" s="164"/>
      <c r="D17" s="164"/>
      <c r="E17" s="165"/>
      <c r="F17" s="165"/>
      <c r="G17" s="163"/>
      <c r="H17" s="163"/>
      <c r="I17" s="171"/>
    </row>
    <row r="18" spans="1:9" s="37" customFormat="1" ht="18" customHeight="1">
      <c r="A18" s="155"/>
      <c r="B18" s="168" t="s">
        <v>93</v>
      </c>
      <c r="C18" s="169"/>
      <c r="D18" s="45"/>
      <c r="E18" s="170"/>
      <c r="F18" s="170"/>
      <c r="G18" s="163"/>
      <c r="H18" s="163"/>
      <c r="I18" s="65"/>
    </row>
    <row r="19" spans="1:9" s="37" customFormat="1" ht="18" customHeight="1">
      <c r="A19" s="155"/>
      <c r="B19" s="168" t="s">
        <v>92</v>
      </c>
      <c r="C19" s="169"/>
      <c r="D19" s="45"/>
      <c r="E19" s="170"/>
      <c r="F19" s="170"/>
      <c r="G19" s="163"/>
      <c r="H19" s="163"/>
      <c r="I19" s="65"/>
    </row>
    <row r="20" spans="1:9" s="37" customFormat="1" ht="18" customHeight="1">
      <c r="A20" s="155"/>
      <c r="B20" s="168" t="s">
        <v>684</v>
      </c>
      <c r="C20" s="169"/>
      <c r="D20" s="45"/>
      <c r="E20" s="170"/>
      <c r="F20" s="170"/>
      <c r="G20" s="163"/>
      <c r="H20" s="163"/>
      <c r="I20" s="65"/>
    </row>
    <row r="21" spans="1:9" s="37" customFormat="1" ht="18" customHeight="1">
      <c r="A21" s="155"/>
      <c r="B21" s="168" t="s">
        <v>61</v>
      </c>
      <c r="C21" s="169"/>
      <c r="D21" s="45"/>
      <c r="E21" s="170"/>
      <c r="F21" s="170"/>
      <c r="G21" s="163"/>
      <c r="H21" s="163"/>
      <c r="I21" s="65"/>
    </row>
    <row r="22" spans="1:9" s="41" customFormat="1" ht="18" customHeight="1">
      <c r="A22" s="38">
        <v>3</v>
      </c>
      <c r="B22" s="162" t="s">
        <v>337</v>
      </c>
      <c r="C22" s="163"/>
      <c r="D22" s="163">
        <f t="shared" si="1"/>
        <v>0</v>
      </c>
      <c r="E22" s="172"/>
      <c r="F22" s="172"/>
      <c r="G22" s="163"/>
      <c r="H22" s="163"/>
      <c r="I22" s="171"/>
    </row>
    <row r="23" spans="1:9" s="41" customFormat="1" ht="18" customHeight="1">
      <c r="A23" s="38">
        <v>4</v>
      </c>
      <c r="B23" s="162" t="s">
        <v>114</v>
      </c>
      <c r="C23" s="164">
        <f>SUM(C24:C28)</f>
        <v>449</v>
      </c>
      <c r="D23" s="164">
        <f>SUM(D24:D28)</f>
        <v>0</v>
      </c>
      <c r="E23" s="165">
        <f>SUM(E24:E28)</f>
        <v>298.00130199999995</v>
      </c>
      <c r="F23" s="165">
        <f>SUM(F24:F28)</f>
        <v>0</v>
      </c>
      <c r="G23" s="163">
        <f t="shared" ref="G23:G26" si="2">E23/C23*100</f>
        <v>66.370000445434286</v>
      </c>
      <c r="H23" s="163"/>
      <c r="I23" s="171"/>
    </row>
    <row r="24" spans="1:9" s="37" customFormat="1" ht="18" customHeight="1">
      <c r="A24" s="155"/>
      <c r="B24" s="167" t="s">
        <v>93</v>
      </c>
      <c r="C24" s="169">
        <v>319</v>
      </c>
      <c r="D24" s="45">
        <v>0</v>
      </c>
      <c r="E24" s="170">
        <v>291.40506599999998</v>
      </c>
      <c r="F24" s="170"/>
      <c r="G24" s="45">
        <f t="shared" si="2"/>
        <v>91.349550470219427</v>
      </c>
      <c r="H24" s="45"/>
      <c r="I24" s="65"/>
    </row>
    <row r="25" spans="1:9" s="37" customFormat="1" ht="18" customHeight="1">
      <c r="A25" s="155"/>
      <c r="B25" s="167" t="s">
        <v>92</v>
      </c>
      <c r="C25" s="169"/>
      <c r="D25" s="45"/>
      <c r="E25" s="170"/>
      <c r="F25" s="170"/>
      <c r="G25" s="45"/>
      <c r="H25" s="45"/>
      <c r="I25" s="65"/>
    </row>
    <row r="26" spans="1:9" s="37" customFormat="1" ht="18" customHeight="1">
      <c r="A26" s="155"/>
      <c r="B26" s="167" t="s">
        <v>89</v>
      </c>
      <c r="C26" s="169">
        <v>130</v>
      </c>
      <c r="D26" s="45"/>
      <c r="E26" s="170">
        <v>6.5962360000000002</v>
      </c>
      <c r="F26" s="170"/>
      <c r="G26" s="45">
        <f t="shared" si="2"/>
        <v>5.0740276923076921</v>
      </c>
      <c r="H26" s="45"/>
      <c r="I26" s="65"/>
    </row>
    <row r="27" spans="1:9" s="37" customFormat="1" ht="18" customHeight="1">
      <c r="A27" s="155"/>
      <c r="B27" s="167" t="s">
        <v>91</v>
      </c>
      <c r="C27" s="169"/>
      <c r="D27" s="45"/>
      <c r="E27" s="170"/>
      <c r="F27" s="170"/>
      <c r="G27" s="45"/>
      <c r="H27" s="45"/>
      <c r="I27" s="65"/>
    </row>
    <row r="28" spans="1:9" s="37" customFormat="1" ht="18" customHeight="1">
      <c r="A28" s="155"/>
      <c r="B28" s="167" t="s">
        <v>500</v>
      </c>
      <c r="C28" s="169"/>
      <c r="D28" s="45"/>
      <c r="E28" s="170"/>
      <c r="F28" s="170"/>
      <c r="G28" s="45"/>
      <c r="H28" s="45"/>
      <c r="I28" s="65"/>
    </row>
    <row r="29" spans="1:9" s="41" customFormat="1" ht="18" customHeight="1">
      <c r="A29" s="38">
        <v>5</v>
      </c>
      <c r="B29" s="162" t="s">
        <v>115</v>
      </c>
      <c r="C29" s="163">
        <v>433</v>
      </c>
      <c r="D29" s="163"/>
      <c r="E29" s="172">
        <v>483.86418500000002</v>
      </c>
      <c r="F29" s="172"/>
      <c r="G29" s="163">
        <f>E29/C29*100</f>
        <v>111.74692494226328</v>
      </c>
      <c r="H29" s="163"/>
      <c r="I29" s="171"/>
    </row>
    <row r="30" spans="1:9" s="41" customFormat="1" ht="18" customHeight="1">
      <c r="A30" s="38">
        <v>6</v>
      </c>
      <c r="B30" s="162" t="s">
        <v>116</v>
      </c>
      <c r="C30" s="163"/>
      <c r="D30" s="163">
        <f t="shared" si="1"/>
        <v>0</v>
      </c>
      <c r="E30" s="172"/>
      <c r="F30" s="172"/>
      <c r="G30" s="163"/>
      <c r="H30" s="163"/>
      <c r="I30" s="171"/>
    </row>
    <row r="31" spans="1:9" s="37" customFormat="1" ht="25.5">
      <c r="A31" s="155" t="s">
        <v>71</v>
      </c>
      <c r="B31" s="173" t="s">
        <v>182</v>
      </c>
      <c r="C31" s="45"/>
      <c r="D31" s="163">
        <f t="shared" si="1"/>
        <v>0</v>
      </c>
      <c r="E31" s="54"/>
      <c r="F31" s="54"/>
      <c r="G31" s="163"/>
      <c r="H31" s="163"/>
      <c r="I31" s="65"/>
    </row>
    <row r="32" spans="1:9" s="37" customFormat="1" ht="18" customHeight="1">
      <c r="A32" s="155" t="s">
        <v>71</v>
      </c>
      <c r="B32" s="173" t="s">
        <v>174</v>
      </c>
      <c r="C32" s="45"/>
      <c r="D32" s="163">
        <f t="shared" si="1"/>
        <v>0</v>
      </c>
      <c r="E32" s="54"/>
      <c r="F32" s="54"/>
      <c r="G32" s="163"/>
      <c r="H32" s="163"/>
      <c r="I32" s="65"/>
    </row>
    <row r="33" spans="1:10" s="41" customFormat="1" ht="18" customHeight="1">
      <c r="A33" s="38">
        <v>7</v>
      </c>
      <c r="B33" s="162" t="s">
        <v>117</v>
      </c>
      <c r="C33" s="163">
        <v>495</v>
      </c>
      <c r="D33" s="163"/>
      <c r="E33" s="172">
        <v>645.27814799999999</v>
      </c>
      <c r="F33" s="172"/>
      <c r="G33" s="163">
        <f>E33/C33*100</f>
        <v>130.35922181818182</v>
      </c>
      <c r="H33" s="163"/>
      <c r="I33" s="171"/>
    </row>
    <row r="34" spans="1:10" s="41" customFormat="1" ht="18" customHeight="1">
      <c r="A34" s="38">
        <v>8</v>
      </c>
      <c r="B34" s="162" t="s">
        <v>175</v>
      </c>
      <c r="C34" s="163">
        <v>274</v>
      </c>
      <c r="D34" s="163">
        <v>0</v>
      </c>
      <c r="E34" s="172">
        <v>41.272436999999996</v>
      </c>
      <c r="F34" s="172">
        <v>0</v>
      </c>
      <c r="G34" s="163">
        <f>E34/C34*100</f>
        <v>15.06293321167883</v>
      </c>
      <c r="H34" s="163"/>
      <c r="I34" s="174"/>
    </row>
    <row r="35" spans="1:10" s="37" customFormat="1" ht="18" customHeight="1">
      <c r="A35" s="155" t="s">
        <v>71</v>
      </c>
      <c r="B35" s="173" t="s">
        <v>0</v>
      </c>
      <c r="C35" s="45"/>
      <c r="D35" s="163">
        <f t="shared" si="1"/>
        <v>0</v>
      </c>
      <c r="E35" s="54">
        <v>3.367</v>
      </c>
      <c r="F35" s="175"/>
      <c r="G35" s="163"/>
      <c r="H35" s="163"/>
      <c r="I35" s="65"/>
    </row>
    <row r="36" spans="1:10" s="37" customFormat="1" ht="18" customHeight="1">
      <c r="A36" s="155" t="s">
        <v>71</v>
      </c>
      <c r="B36" s="173" t="s">
        <v>1</v>
      </c>
      <c r="C36" s="45"/>
      <c r="D36" s="163">
        <f t="shared" si="1"/>
        <v>0</v>
      </c>
      <c r="E36" s="54">
        <v>37.905436999999999</v>
      </c>
      <c r="F36" s="175"/>
      <c r="G36" s="163"/>
      <c r="H36" s="163"/>
      <c r="I36" s="65"/>
    </row>
    <row r="37" spans="1:10" s="37" customFormat="1" ht="18" customHeight="1">
      <c r="A37" s="155" t="s">
        <v>71</v>
      </c>
      <c r="B37" s="173" t="s">
        <v>2</v>
      </c>
      <c r="C37" s="45"/>
      <c r="D37" s="163">
        <f t="shared" si="1"/>
        <v>0</v>
      </c>
      <c r="E37" s="54"/>
      <c r="F37" s="175">
        <f>+E37</f>
        <v>0</v>
      </c>
      <c r="G37" s="163"/>
      <c r="H37" s="163"/>
      <c r="I37" s="65"/>
    </row>
    <row r="38" spans="1:10" s="37" customFormat="1" ht="18" customHeight="1">
      <c r="A38" s="155" t="s">
        <v>71</v>
      </c>
      <c r="B38" s="173" t="s">
        <v>3</v>
      </c>
      <c r="C38" s="45"/>
      <c r="D38" s="163">
        <f t="shared" si="1"/>
        <v>0</v>
      </c>
      <c r="E38" s="54"/>
      <c r="F38" s="175">
        <f>+E38</f>
        <v>0</v>
      </c>
      <c r="G38" s="163"/>
      <c r="H38" s="163"/>
      <c r="I38" s="65"/>
    </row>
    <row r="39" spans="1:10" s="41" customFormat="1" ht="18" customHeight="1">
      <c r="A39" s="38">
        <v>9</v>
      </c>
      <c r="B39" s="162" t="s">
        <v>65</v>
      </c>
      <c r="C39" s="163"/>
      <c r="D39" s="163"/>
      <c r="E39" s="172"/>
      <c r="F39" s="172"/>
      <c r="G39" s="163"/>
      <c r="H39" s="163"/>
      <c r="I39" s="171"/>
    </row>
    <row r="40" spans="1:10" s="41" customFormat="1" ht="18" customHeight="1">
      <c r="A40" s="38">
        <v>10</v>
      </c>
      <c r="B40" s="162" t="s">
        <v>64</v>
      </c>
      <c r="C40" s="163"/>
      <c r="D40" s="163">
        <f t="shared" si="1"/>
        <v>0</v>
      </c>
      <c r="E40" s="172">
        <v>1.07751</v>
      </c>
      <c r="F40" s="172"/>
      <c r="G40" s="163"/>
      <c r="H40" s="163"/>
      <c r="I40" s="171"/>
    </row>
    <row r="41" spans="1:10" s="41" customFormat="1" ht="18" customHeight="1">
      <c r="A41" s="38">
        <v>11</v>
      </c>
      <c r="B41" s="162" t="s">
        <v>4</v>
      </c>
      <c r="C41" s="163"/>
      <c r="D41" s="163"/>
      <c r="E41" s="172"/>
      <c r="F41" s="172"/>
      <c r="G41" s="163"/>
      <c r="H41" s="163"/>
      <c r="I41" s="171"/>
    </row>
    <row r="42" spans="1:10" s="41" customFormat="1" ht="18" customHeight="1">
      <c r="A42" s="38">
        <v>12</v>
      </c>
      <c r="B42" s="162" t="s">
        <v>66</v>
      </c>
      <c r="C42" s="163">
        <v>2100</v>
      </c>
      <c r="D42" s="163">
        <v>0</v>
      </c>
      <c r="E42" s="172">
        <v>109.5958</v>
      </c>
      <c r="F42" s="172"/>
      <c r="G42" s="163">
        <f>E42/C42*100</f>
        <v>5.2188476190476187</v>
      </c>
      <c r="H42" s="163"/>
      <c r="I42" s="171"/>
      <c r="J42" s="389"/>
    </row>
    <row r="43" spans="1:10" s="41" customFormat="1" ht="18" customHeight="1">
      <c r="A43" s="38">
        <v>13</v>
      </c>
      <c r="B43" s="162" t="s">
        <v>5</v>
      </c>
      <c r="C43" s="163"/>
      <c r="D43" s="163">
        <f t="shared" si="1"/>
        <v>0</v>
      </c>
      <c r="E43" s="172"/>
      <c r="F43" s="172"/>
      <c r="G43" s="163"/>
      <c r="H43" s="163"/>
      <c r="I43" s="171"/>
    </row>
    <row r="44" spans="1:10" s="41" customFormat="1" ht="18" customHeight="1">
      <c r="A44" s="38">
        <v>14</v>
      </c>
      <c r="B44" s="162" t="s">
        <v>118</v>
      </c>
      <c r="C44" s="163"/>
      <c r="D44" s="163">
        <f t="shared" si="1"/>
        <v>0</v>
      </c>
      <c r="E44" s="172"/>
      <c r="F44" s="172"/>
      <c r="G44" s="163"/>
      <c r="H44" s="163"/>
      <c r="I44" s="171"/>
    </row>
    <row r="45" spans="1:10" s="41" customFormat="1" ht="18" customHeight="1">
      <c r="A45" s="38">
        <v>15</v>
      </c>
      <c r="B45" s="162" t="s">
        <v>120</v>
      </c>
      <c r="C45" s="163"/>
      <c r="D45" s="163">
        <f t="shared" si="1"/>
        <v>0</v>
      </c>
      <c r="E45" s="172"/>
      <c r="F45" s="172"/>
      <c r="G45" s="163"/>
      <c r="H45" s="163"/>
      <c r="I45" s="171"/>
    </row>
    <row r="46" spans="1:10" s="41" customFormat="1" ht="18" customHeight="1">
      <c r="A46" s="38">
        <v>16</v>
      </c>
      <c r="B46" s="162" t="s">
        <v>119</v>
      </c>
      <c r="C46" s="163">
        <v>349</v>
      </c>
      <c r="D46" s="163">
        <v>0</v>
      </c>
      <c r="E46" s="172">
        <v>39.057414999999999</v>
      </c>
      <c r="F46" s="172">
        <v>1.5</v>
      </c>
      <c r="G46" s="163">
        <f>E46/C46*100</f>
        <v>11.191236389684814</v>
      </c>
      <c r="H46" s="163"/>
      <c r="I46" s="171"/>
    </row>
    <row r="47" spans="1:10" s="41" customFormat="1" ht="18" customHeight="1">
      <c r="A47" s="38">
        <v>17</v>
      </c>
      <c r="B47" s="162" t="s">
        <v>6</v>
      </c>
      <c r="C47" s="163"/>
      <c r="D47" s="163"/>
      <c r="E47" s="172"/>
      <c r="F47" s="172"/>
      <c r="G47" s="163"/>
      <c r="H47" s="163"/>
      <c r="I47" s="171"/>
    </row>
    <row r="48" spans="1:10" s="41" customFormat="1" ht="30.75" customHeight="1">
      <c r="A48" s="38">
        <v>18</v>
      </c>
      <c r="B48" s="162" t="s">
        <v>499</v>
      </c>
      <c r="C48" s="163"/>
      <c r="D48" s="163">
        <f t="shared" si="1"/>
        <v>0</v>
      </c>
      <c r="E48" s="172"/>
      <c r="F48" s="172"/>
      <c r="G48" s="163"/>
      <c r="H48" s="163"/>
      <c r="I48" s="171"/>
    </row>
    <row r="49" spans="1:9" s="41" customFormat="1" ht="45.75" customHeight="1">
      <c r="A49" s="38">
        <v>19</v>
      </c>
      <c r="B49" s="200" t="s">
        <v>607</v>
      </c>
      <c r="C49" s="163"/>
      <c r="D49" s="163">
        <f t="shared" si="1"/>
        <v>0</v>
      </c>
      <c r="E49" s="172"/>
      <c r="F49" s="172"/>
      <c r="G49" s="163"/>
      <c r="H49" s="163"/>
      <c r="I49" s="171"/>
    </row>
    <row r="50" spans="1:9" s="41" customFormat="1" ht="18" customHeight="1">
      <c r="A50" s="38">
        <v>20</v>
      </c>
      <c r="B50" s="162" t="s">
        <v>608</v>
      </c>
      <c r="C50" s="163"/>
      <c r="D50" s="163">
        <f t="shared" si="1"/>
        <v>0</v>
      </c>
      <c r="E50" s="172"/>
      <c r="F50" s="172"/>
      <c r="G50" s="163"/>
      <c r="H50" s="163"/>
      <c r="I50" s="171"/>
    </row>
    <row r="51" spans="1:9" s="41" customFormat="1" ht="18" customHeight="1">
      <c r="A51" s="38">
        <v>21</v>
      </c>
      <c r="B51" s="162" t="s">
        <v>438</v>
      </c>
      <c r="C51" s="163"/>
      <c r="D51" s="163"/>
      <c r="E51" s="172"/>
      <c r="F51" s="172">
        <f>E51</f>
        <v>0</v>
      </c>
      <c r="G51" s="163"/>
      <c r="H51" s="163"/>
      <c r="I51" s="171"/>
    </row>
    <row r="52" spans="1:9" s="37" customFormat="1" ht="18" customHeight="1">
      <c r="A52" s="38" t="s">
        <v>139</v>
      </c>
      <c r="B52" s="162" t="s">
        <v>140</v>
      </c>
      <c r="C52" s="45"/>
      <c r="D52" s="163">
        <f t="shared" si="1"/>
        <v>0</v>
      </c>
      <c r="E52" s="54"/>
      <c r="F52" s="54"/>
      <c r="G52" s="163"/>
      <c r="H52" s="163"/>
      <c r="I52" s="65"/>
    </row>
    <row r="53" spans="1:9" s="37" customFormat="1" ht="18" customHeight="1">
      <c r="A53" s="38" t="s">
        <v>62</v>
      </c>
      <c r="B53" s="162" t="s">
        <v>7</v>
      </c>
      <c r="C53" s="45"/>
      <c r="D53" s="163">
        <f t="shared" si="1"/>
        <v>0</v>
      </c>
      <c r="E53" s="54"/>
      <c r="F53" s="54"/>
      <c r="G53" s="163"/>
      <c r="H53" s="163"/>
      <c r="I53" s="65"/>
    </row>
    <row r="54" spans="1:9" s="37" customFormat="1" ht="18" customHeight="1">
      <c r="A54" s="155">
        <v>1</v>
      </c>
      <c r="B54" s="167" t="s">
        <v>172</v>
      </c>
      <c r="C54" s="45"/>
      <c r="D54" s="163">
        <f t="shared" si="1"/>
        <v>0</v>
      </c>
      <c r="E54" s="54"/>
      <c r="F54" s="54"/>
      <c r="G54" s="163"/>
      <c r="H54" s="163"/>
      <c r="I54" s="65"/>
    </row>
    <row r="55" spans="1:9" s="37" customFormat="1" ht="18" customHeight="1">
      <c r="A55" s="155">
        <v>2</v>
      </c>
      <c r="B55" s="167" t="s">
        <v>70</v>
      </c>
      <c r="C55" s="45"/>
      <c r="D55" s="163">
        <f t="shared" si="1"/>
        <v>0</v>
      </c>
      <c r="E55" s="54"/>
      <c r="F55" s="54"/>
      <c r="G55" s="163"/>
      <c r="H55" s="163"/>
      <c r="I55" s="65"/>
    </row>
    <row r="56" spans="1:9" s="37" customFormat="1" ht="18" customHeight="1">
      <c r="A56" s="155">
        <v>3</v>
      </c>
      <c r="B56" s="167" t="s">
        <v>8</v>
      </c>
      <c r="C56" s="45"/>
      <c r="D56" s="163">
        <f t="shared" si="1"/>
        <v>0</v>
      </c>
      <c r="E56" s="54"/>
      <c r="F56" s="54"/>
      <c r="G56" s="163"/>
      <c r="H56" s="163"/>
      <c r="I56" s="65"/>
    </row>
    <row r="57" spans="1:9" s="37" customFormat="1" ht="18" customHeight="1">
      <c r="A57" s="155">
        <v>4</v>
      </c>
      <c r="B57" s="167" t="s">
        <v>9</v>
      </c>
      <c r="C57" s="45"/>
      <c r="D57" s="163">
        <f t="shared" si="1"/>
        <v>0</v>
      </c>
      <c r="E57" s="54"/>
      <c r="F57" s="54"/>
      <c r="G57" s="163"/>
      <c r="H57" s="163"/>
      <c r="I57" s="65"/>
    </row>
    <row r="58" spans="1:9" s="37" customFormat="1" ht="18" customHeight="1">
      <c r="A58" s="155">
        <v>5</v>
      </c>
      <c r="B58" s="167" t="s">
        <v>10</v>
      </c>
      <c r="C58" s="45"/>
      <c r="D58" s="163">
        <f t="shared" si="1"/>
        <v>0</v>
      </c>
      <c r="E58" s="54"/>
      <c r="F58" s="54"/>
      <c r="G58" s="163"/>
      <c r="H58" s="163"/>
      <c r="I58" s="65"/>
    </row>
    <row r="59" spans="1:9" s="37" customFormat="1" ht="18" customHeight="1">
      <c r="A59" s="155">
        <v>6</v>
      </c>
      <c r="B59" s="167" t="s">
        <v>68</v>
      </c>
      <c r="C59" s="45"/>
      <c r="D59" s="163">
        <f t="shared" si="1"/>
        <v>0</v>
      </c>
      <c r="E59" s="54"/>
      <c r="F59" s="54"/>
      <c r="G59" s="163"/>
      <c r="H59" s="163"/>
      <c r="I59" s="65"/>
    </row>
    <row r="60" spans="1:9" s="41" customFormat="1" ht="18" customHeight="1">
      <c r="A60" s="38" t="s">
        <v>63</v>
      </c>
      <c r="B60" s="162" t="s">
        <v>338</v>
      </c>
      <c r="C60" s="163"/>
      <c r="D60" s="163">
        <f t="shared" si="1"/>
        <v>0</v>
      </c>
      <c r="E60" s="172"/>
      <c r="F60" s="172"/>
      <c r="G60" s="163"/>
      <c r="H60" s="163"/>
      <c r="I60" s="171"/>
    </row>
    <row r="61" spans="1:9" s="41" customFormat="1" ht="18" customHeight="1">
      <c r="A61" s="38" t="s">
        <v>67</v>
      </c>
      <c r="B61" s="162" t="s">
        <v>330</v>
      </c>
      <c r="C61" s="163"/>
      <c r="D61" s="163">
        <f t="shared" si="1"/>
        <v>0</v>
      </c>
      <c r="E61" s="172"/>
      <c r="F61" s="172"/>
      <c r="G61" s="163"/>
      <c r="H61" s="163"/>
      <c r="I61" s="171"/>
    </row>
    <row r="62" spans="1:9" s="41" customFormat="1" ht="18" customHeight="1">
      <c r="A62" s="38" t="s">
        <v>295</v>
      </c>
      <c r="B62" s="162" t="s">
        <v>196</v>
      </c>
      <c r="C62" s="163">
        <f>SUM(C63:C64)</f>
        <v>76858</v>
      </c>
      <c r="D62" s="163">
        <f>SUM(D63:D64)</f>
        <v>76858</v>
      </c>
      <c r="E62" s="172">
        <f>SUM(E63:E64)</f>
        <v>97826.807253999999</v>
      </c>
      <c r="F62" s="172">
        <f>SUM(F63:F64)</f>
        <v>97826.807253999999</v>
      </c>
      <c r="G62" s="163">
        <f t="shared" ref="G62:H64" si="3">E62/C62*100</f>
        <v>127.28253045096152</v>
      </c>
      <c r="H62" s="163">
        <f t="shared" si="3"/>
        <v>127.28253045096152</v>
      </c>
      <c r="I62" s="171"/>
    </row>
    <row r="63" spans="1:9" s="37" customFormat="1" ht="18" customHeight="1">
      <c r="A63" s="155">
        <v>1</v>
      </c>
      <c r="B63" s="102" t="s">
        <v>371</v>
      </c>
      <c r="C63" s="45">
        <f>+D63</f>
        <v>63393</v>
      </c>
      <c r="D63" s="45">
        <f>+'49'!C28</f>
        <v>63393</v>
      </c>
      <c r="E63" s="54">
        <f>+F63</f>
        <v>61717.746266000002</v>
      </c>
      <c r="F63" s="54">
        <f>+'49'!D28</f>
        <v>61717.746266000002</v>
      </c>
      <c r="G63" s="45">
        <f t="shared" si="3"/>
        <v>97.357352177685243</v>
      </c>
      <c r="H63" s="45">
        <f t="shared" si="3"/>
        <v>97.357352177685243</v>
      </c>
      <c r="I63" s="65"/>
    </row>
    <row r="64" spans="1:9" s="37" customFormat="1" ht="18" customHeight="1">
      <c r="A64" s="155">
        <v>2</v>
      </c>
      <c r="B64" s="102" t="s">
        <v>372</v>
      </c>
      <c r="C64" s="45">
        <f>+D64</f>
        <v>13465</v>
      </c>
      <c r="D64" s="45">
        <f>+'49'!C29</f>
        <v>13465</v>
      </c>
      <c r="E64" s="54">
        <f>+F64</f>
        <v>36109.060987999997</v>
      </c>
      <c r="F64" s="54">
        <f>+'49'!D29</f>
        <v>36109.060987999997</v>
      </c>
      <c r="G64" s="45">
        <f t="shared" si="3"/>
        <v>268.16978082435946</v>
      </c>
      <c r="H64" s="45">
        <f t="shared" si="3"/>
        <v>268.16978082435946</v>
      </c>
      <c r="I64" s="65"/>
    </row>
    <row r="65" spans="1:9" s="41" customFormat="1" ht="22.5" customHeight="1">
      <c r="A65" s="38" t="s">
        <v>229</v>
      </c>
      <c r="B65" s="162" t="s">
        <v>11</v>
      </c>
      <c r="C65" s="163"/>
      <c r="D65" s="163">
        <f t="shared" si="1"/>
        <v>0</v>
      </c>
      <c r="E65" s="172">
        <f>+F65</f>
        <v>179.822</v>
      </c>
      <c r="F65" s="177">
        <v>179.822</v>
      </c>
      <c r="G65" s="163"/>
      <c r="H65" s="163"/>
      <c r="I65" s="171"/>
    </row>
    <row r="66" spans="1:9" s="41" customFormat="1" ht="33.75" customHeight="1">
      <c r="A66" s="55" t="s">
        <v>379</v>
      </c>
      <c r="B66" s="56" t="s">
        <v>12</v>
      </c>
      <c r="C66" s="176"/>
      <c r="D66" s="176">
        <f t="shared" si="1"/>
        <v>0</v>
      </c>
      <c r="E66" s="177">
        <f>+F66</f>
        <v>5999.9802829999999</v>
      </c>
      <c r="F66" s="177">
        <v>5999.9802829999999</v>
      </c>
      <c r="G66" s="176"/>
      <c r="H66" s="176"/>
      <c r="I66" s="171"/>
    </row>
    <row r="67" spans="1:9" ht="15.75" hidden="1" customHeight="1">
      <c r="E67" s="1786" t="s">
        <v>945</v>
      </c>
      <c r="F67" s="1786"/>
      <c r="G67" s="1786"/>
      <c r="H67" s="1786"/>
    </row>
    <row r="68" spans="1:9" ht="15.75" hidden="1" customHeight="1">
      <c r="E68" s="1787" t="s">
        <v>214</v>
      </c>
      <c r="F68" s="1787"/>
      <c r="G68" s="1787"/>
      <c r="H68" s="1787"/>
    </row>
    <row r="69" spans="1:9" ht="15.75" hidden="1" customHeight="1">
      <c r="E69" s="1787" t="s">
        <v>215</v>
      </c>
      <c r="F69" s="1787"/>
      <c r="G69" s="1787"/>
      <c r="H69" s="1787"/>
    </row>
    <row r="70" spans="1:9" ht="15.75" hidden="1" customHeight="1">
      <c r="E70" s="1788" t="s">
        <v>141</v>
      </c>
      <c r="F70" s="1788"/>
      <c r="G70" s="1788"/>
      <c r="H70" s="1788"/>
    </row>
    <row r="71" spans="1:9" ht="2.25" hidden="1" customHeight="1">
      <c r="E71" s="1788"/>
      <c r="F71" s="1788"/>
      <c r="G71" s="1788"/>
      <c r="H71" s="1788"/>
    </row>
    <row r="72" spans="1:9" hidden="1"/>
    <row r="73" spans="1:9" hidden="1"/>
    <row r="74" spans="1:9" hidden="1"/>
    <row r="75" spans="1:9" hidden="1"/>
    <row r="76" spans="1:9" hidden="1"/>
    <row r="77" spans="1:9" ht="18.75" hidden="1" customHeight="1"/>
    <row r="78" spans="1:9" ht="23.25" hidden="1" customHeight="1">
      <c r="E78" s="1789" t="s">
        <v>613</v>
      </c>
      <c r="F78" s="1789"/>
      <c r="G78" s="1789"/>
      <c r="H78" s="1789"/>
    </row>
  </sheetData>
  <mergeCells count="14">
    <mergeCell ref="E67:H67"/>
    <mergeCell ref="E68:H68"/>
    <mergeCell ref="E69:H69"/>
    <mergeCell ref="E70:H71"/>
    <mergeCell ref="E78:H78"/>
    <mergeCell ref="F1:H1"/>
    <mergeCell ref="A2:H2"/>
    <mergeCell ref="A5:A6"/>
    <mergeCell ref="B5:B6"/>
    <mergeCell ref="C5:D5"/>
    <mergeCell ref="E5:F5"/>
    <mergeCell ref="G5:H5"/>
    <mergeCell ref="G4:H4"/>
    <mergeCell ref="A3:H3"/>
  </mergeCells>
  <phoneticPr fontId="31" type="noConversion"/>
  <pageMargins left="0.77" right="0.2" top="0.56000000000000005" bottom="0.23" header="0.2" footer="0.2"/>
  <pageSetup paperSize="9" firstPageNumber="157" orientation="landscape" useFirstPageNumber="1"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0"/>
  </sheetPr>
  <dimension ref="A1:F84"/>
  <sheetViews>
    <sheetView zoomScale="85" zoomScaleNormal="85" workbookViewId="0">
      <pane ySplit="5" topLeftCell="A63" activePane="bottomLeft" state="frozen"/>
      <selection pane="bottomLeft" activeCell="D70" sqref="D56:D70"/>
    </sheetView>
  </sheetViews>
  <sheetFormatPr defaultColWidth="9.28515625" defaultRowHeight="15"/>
  <cols>
    <col min="1" max="1" width="6.42578125" style="180" customWidth="1"/>
    <col min="2" max="2" width="50.7109375" style="33" customWidth="1"/>
    <col min="3" max="3" width="13" style="914" customWidth="1"/>
    <col min="4" max="4" width="17" style="36" customWidth="1"/>
    <col min="5" max="5" width="9.140625" style="26" customWidth="1"/>
    <col min="6" max="6" width="24" style="33" customWidth="1"/>
    <col min="7" max="16384" width="9.28515625" style="33"/>
  </cols>
  <sheetData>
    <row r="1" spans="1:5" ht="23.25" customHeight="1">
      <c r="A1" s="1791" t="str">
        <f>'48.QTCĐNSĐP'!A1</f>
        <v>UBND XÃ CƯỜNG LỢI</v>
      </c>
      <c r="B1" s="1791"/>
      <c r="D1" s="1790" t="s">
        <v>1426</v>
      </c>
      <c r="E1" s="1790"/>
    </row>
    <row r="2" spans="1:5" ht="29.25" customHeight="1">
      <c r="A2" s="1787" t="s">
        <v>1223</v>
      </c>
      <c r="B2" s="1787"/>
      <c r="C2" s="1787"/>
      <c r="D2" s="1787"/>
      <c r="E2" s="1787"/>
    </row>
    <row r="3" spans="1:5" ht="29.25" customHeight="1">
      <c r="A3" s="1788" t="str">
        <f>+'50'!A3:H3</f>
        <v>(Kèm theo Báo cáo số 151/BC-UBND ngày 20/3/2026 của UBND xã Cường Lợi)</v>
      </c>
      <c r="B3" s="1788"/>
      <c r="C3" s="1788"/>
      <c r="D3" s="1788"/>
      <c r="E3" s="1788"/>
    </row>
    <row r="4" spans="1:5" ht="15.75">
      <c r="E4" s="199" t="s">
        <v>290</v>
      </c>
    </row>
    <row r="5" spans="1:5" ht="47.25" customHeight="1">
      <c r="A5" s="210" t="s">
        <v>291</v>
      </c>
      <c r="B5" s="367" t="s">
        <v>292</v>
      </c>
      <c r="C5" s="915" t="s">
        <v>293</v>
      </c>
      <c r="D5" s="366" t="s">
        <v>136</v>
      </c>
      <c r="E5" s="203" t="s">
        <v>158</v>
      </c>
    </row>
    <row r="6" spans="1:5" s="181" customFormat="1" ht="18" customHeight="1">
      <c r="A6" s="796" t="s">
        <v>294</v>
      </c>
      <c r="B6" s="796" t="s">
        <v>295</v>
      </c>
      <c r="C6" s="796">
        <v>1</v>
      </c>
      <c r="D6" s="796">
        <v>2</v>
      </c>
      <c r="E6" s="798" t="s">
        <v>217</v>
      </c>
    </row>
    <row r="7" spans="1:5" s="39" customFormat="1" ht="18.75" customHeight="1">
      <c r="A7" s="70"/>
      <c r="B7" s="71" t="s">
        <v>375</v>
      </c>
      <c r="C7" s="916">
        <f>+C8+C28+C71</f>
        <v>76858</v>
      </c>
      <c r="D7" s="1536">
        <f>+D8+D28+D71</f>
        <v>103957.14597600001</v>
      </c>
      <c r="E7" s="1537">
        <f>D7/C7*100</f>
        <v>135.2587186447735</v>
      </c>
    </row>
    <row r="8" spans="1:5" s="39" customFormat="1" ht="18.75" customHeight="1">
      <c r="A8" s="189" t="s">
        <v>294</v>
      </c>
      <c r="B8" s="75" t="s">
        <v>173</v>
      </c>
      <c r="C8" s="917">
        <f>+'53'!C9</f>
        <v>63393</v>
      </c>
      <c r="D8" s="204">
        <f>+D9+D19+D23+D24+D25+D26+D27</f>
        <v>57246.243655000006</v>
      </c>
      <c r="E8" s="1532">
        <f t="shared" ref="E8:E40" si="0">D8/C8*100</f>
        <v>90.303730151594024</v>
      </c>
    </row>
    <row r="9" spans="1:5" s="39" customFormat="1" ht="15.75" customHeight="1">
      <c r="A9" s="189" t="s">
        <v>296</v>
      </c>
      <c r="B9" s="75" t="s">
        <v>75</v>
      </c>
      <c r="C9" s="917">
        <f>+C10</f>
        <v>498</v>
      </c>
      <c r="D9" s="204">
        <v>3916.709942</v>
      </c>
      <c r="E9" s="1532">
        <f t="shared" si="0"/>
        <v>786.48794016064255</v>
      </c>
    </row>
    <row r="10" spans="1:5" ht="15.75" customHeight="1">
      <c r="A10" s="73">
        <v>1</v>
      </c>
      <c r="B10" s="74" t="s">
        <v>218</v>
      </c>
      <c r="C10" s="918">
        <v>498</v>
      </c>
      <c r="D10" s="205">
        <v>3916.709942</v>
      </c>
      <c r="E10" s="206">
        <f t="shared" si="0"/>
        <v>786.48794016064255</v>
      </c>
    </row>
    <row r="11" spans="1:5" ht="15.75" customHeight="1">
      <c r="A11" s="73"/>
      <c r="B11" s="198" t="s">
        <v>219</v>
      </c>
      <c r="C11" s="918"/>
      <c r="D11" s="205"/>
      <c r="E11" s="206"/>
    </row>
    <row r="12" spans="1:5" ht="15.75" customHeight="1">
      <c r="A12" s="73" t="s">
        <v>71</v>
      </c>
      <c r="B12" s="198" t="s">
        <v>221</v>
      </c>
      <c r="C12" s="918"/>
      <c r="D12" s="205">
        <f>+'53'!H13</f>
        <v>2911.6060000000002</v>
      </c>
      <c r="E12" s="206"/>
    </row>
    <row r="13" spans="1:5" ht="15.75" customHeight="1">
      <c r="A13" s="73" t="s">
        <v>71</v>
      </c>
      <c r="B13" s="198" t="s">
        <v>1003</v>
      </c>
      <c r="C13" s="918"/>
      <c r="D13" s="205"/>
      <c r="E13" s="206"/>
    </row>
    <row r="14" spans="1:5" ht="15.75" customHeight="1">
      <c r="A14" s="73"/>
      <c r="B14" s="198" t="s">
        <v>1002</v>
      </c>
      <c r="C14" s="918"/>
      <c r="D14" s="205"/>
      <c r="E14" s="206"/>
    </row>
    <row r="15" spans="1:5" ht="15.75" customHeight="1">
      <c r="A15" s="595" t="s">
        <v>71</v>
      </c>
      <c r="B15" s="198" t="s">
        <v>272</v>
      </c>
      <c r="C15" s="918">
        <v>0</v>
      </c>
      <c r="D15" s="205">
        <v>0</v>
      </c>
      <c r="E15" s="206"/>
    </row>
    <row r="16" spans="1:5" ht="15.75" customHeight="1">
      <c r="A16" s="595" t="s">
        <v>71</v>
      </c>
      <c r="B16" s="198" t="s">
        <v>1005</v>
      </c>
      <c r="C16" s="918">
        <f>+'53'!C16</f>
        <v>0</v>
      </c>
      <c r="D16" s="205">
        <v>0</v>
      </c>
      <c r="E16" s="206"/>
    </row>
    <row r="17" spans="1:6" ht="72.75" customHeight="1">
      <c r="A17" s="73">
        <v>2</v>
      </c>
      <c r="B17" s="188" t="s">
        <v>271</v>
      </c>
      <c r="C17" s="918"/>
      <c r="D17" s="205"/>
      <c r="E17" s="206"/>
    </row>
    <row r="18" spans="1:6" ht="21" customHeight="1">
      <c r="A18" s="73">
        <v>3</v>
      </c>
      <c r="B18" s="74" t="s">
        <v>73</v>
      </c>
      <c r="C18" s="918"/>
      <c r="D18" s="1003">
        <v>0</v>
      </c>
      <c r="E18" s="206"/>
    </row>
    <row r="19" spans="1:6" s="39" customFormat="1" ht="21" customHeight="1">
      <c r="A19" s="189" t="s">
        <v>139</v>
      </c>
      <c r="B19" s="75" t="s">
        <v>446</v>
      </c>
      <c r="C19" s="919">
        <v>61745</v>
      </c>
      <c r="D19" s="204">
        <f>+'53'!H20</f>
        <v>52042.801893000003</v>
      </c>
      <c r="E19" s="1532">
        <f t="shared" si="0"/>
        <v>84.286665953518508</v>
      </c>
    </row>
    <row r="20" spans="1:6" ht="21" customHeight="1">
      <c r="A20" s="73"/>
      <c r="B20" s="198" t="s">
        <v>233</v>
      </c>
      <c r="C20" s="918"/>
      <c r="D20" s="205"/>
      <c r="E20" s="206"/>
    </row>
    <row r="21" spans="1:6" ht="21" customHeight="1">
      <c r="A21" s="73"/>
      <c r="B21" s="198" t="s">
        <v>1004</v>
      </c>
      <c r="C21" s="918"/>
      <c r="D21" s="205">
        <f>+'53'!H22</f>
        <v>30237.399847000004</v>
      </c>
      <c r="E21" s="206"/>
    </row>
    <row r="22" spans="1:6" ht="21" customHeight="1">
      <c r="A22" s="73"/>
      <c r="B22" s="198" t="s">
        <v>1003</v>
      </c>
      <c r="C22" s="918"/>
      <c r="D22" s="205"/>
      <c r="E22" s="206"/>
    </row>
    <row r="23" spans="1:6" s="1521" customFormat="1" ht="28.5">
      <c r="A23" s="189" t="s">
        <v>62</v>
      </c>
      <c r="B23" s="75" t="s">
        <v>1221</v>
      </c>
      <c r="C23" s="1528"/>
      <c r="D23" s="1529"/>
      <c r="E23" s="1529"/>
    </row>
    <row r="24" spans="1:6" s="1521" customFormat="1" ht="14.25">
      <c r="A24" s="189" t="s">
        <v>63</v>
      </c>
      <c r="B24" s="75" t="s">
        <v>1222</v>
      </c>
      <c r="C24" s="1528"/>
      <c r="D24" s="1529"/>
      <c r="E24" s="1529"/>
    </row>
    <row r="25" spans="1:6" s="1535" customFormat="1" ht="14.25">
      <c r="A25" s="189" t="s">
        <v>67</v>
      </c>
      <c r="B25" s="75" t="s">
        <v>376</v>
      </c>
      <c r="C25" s="919">
        <v>1150</v>
      </c>
      <c r="D25" s="919">
        <f>+'53'!H26</f>
        <v>1106.6088199999999</v>
      </c>
      <c r="E25" s="1534"/>
    </row>
    <row r="26" spans="1:6" s="1521" customFormat="1" ht="14.25">
      <c r="A26" s="189" t="s">
        <v>234</v>
      </c>
      <c r="B26" s="75" t="s">
        <v>472</v>
      </c>
      <c r="C26" s="1530"/>
      <c r="D26" s="1529"/>
      <c r="E26" s="1529"/>
    </row>
    <row r="27" spans="1:6" ht="21" customHeight="1">
      <c r="A27" s="189" t="s">
        <v>67</v>
      </c>
      <c r="B27" s="75" t="s">
        <v>329</v>
      </c>
      <c r="C27" s="917">
        <f>'53'!E28</f>
        <v>0</v>
      </c>
      <c r="D27" s="204">
        <v>180.12299999999999</v>
      </c>
      <c r="E27" s="206"/>
    </row>
    <row r="28" spans="1:6" s="39" customFormat="1" ht="21" customHeight="1">
      <c r="A28" s="189" t="s">
        <v>295</v>
      </c>
      <c r="B28" s="75" t="s">
        <v>220</v>
      </c>
      <c r="C28" s="917">
        <f>+C29+C39+C41</f>
        <v>13465</v>
      </c>
      <c r="D28" s="204">
        <f>+D29+D39+D41</f>
        <v>39186.479914000003</v>
      </c>
      <c r="E28" s="1532">
        <f>D28/C28*100</f>
        <v>291.02473014481996</v>
      </c>
      <c r="F28" s="1731"/>
    </row>
    <row r="29" spans="1:6" s="39" customFormat="1" ht="21" customHeight="1">
      <c r="A29" s="189" t="s">
        <v>296</v>
      </c>
      <c r="B29" s="75" t="s">
        <v>474</v>
      </c>
      <c r="C29" s="917">
        <f>C30+C33+C36</f>
        <v>13143</v>
      </c>
      <c r="D29" s="204">
        <f>D30+D33+D36</f>
        <v>19260.136055000003</v>
      </c>
      <c r="E29" s="1532">
        <f t="shared" si="0"/>
        <v>146.54292060412388</v>
      </c>
      <c r="F29" s="72"/>
    </row>
    <row r="30" spans="1:6" ht="36" customHeight="1">
      <c r="A30" s="189">
        <v>1</v>
      </c>
      <c r="B30" s="1004" t="s">
        <v>623</v>
      </c>
      <c r="C30" s="917">
        <f>C31+C32</f>
        <v>1740</v>
      </c>
      <c r="D30" s="204">
        <f>D31+D32</f>
        <v>2366.0945079999997</v>
      </c>
      <c r="E30" s="1532">
        <f t="shared" si="0"/>
        <v>135.98244298850574</v>
      </c>
    </row>
    <row r="31" spans="1:6" ht="21" customHeight="1">
      <c r="A31" s="595" t="s">
        <v>60</v>
      </c>
      <c r="B31" s="585" t="s">
        <v>59</v>
      </c>
      <c r="C31" s="918">
        <f>+'53'!E32</f>
        <v>0</v>
      </c>
      <c r="D31" s="205">
        <f>+'53'!F32</f>
        <v>0</v>
      </c>
      <c r="E31" s="206"/>
    </row>
    <row r="32" spans="1:6" s="39" customFormat="1" ht="21" customHeight="1">
      <c r="A32" s="595" t="s">
        <v>60</v>
      </c>
      <c r="B32" s="585" t="s">
        <v>107</v>
      </c>
      <c r="C32" s="918">
        <v>1740</v>
      </c>
      <c r="D32" s="205">
        <f>+'53'!F33</f>
        <v>2366.0945079999997</v>
      </c>
      <c r="E32" s="206">
        <f t="shared" si="0"/>
        <v>135.98244298850574</v>
      </c>
    </row>
    <row r="33" spans="1:5" ht="36.75" customHeight="1">
      <c r="A33" s="189">
        <v>2</v>
      </c>
      <c r="B33" s="1004" t="s">
        <v>612</v>
      </c>
      <c r="C33" s="1005">
        <f>C34+C35</f>
        <v>1185</v>
      </c>
      <c r="D33" s="1531">
        <f>D34+D35</f>
        <v>2599.34</v>
      </c>
      <c r="E33" s="206">
        <f t="shared" si="0"/>
        <v>219.35358649789029</v>
      </c>
    </row>
    <row r="34" spans="1:5" ht="21" customHeight="1">
      <c r="A34" s="595" t="s">
        <v>60</v>
      </c>
      <c r="B34" s="585" t="s">
        <v>59</v>
      </c>
      <c r="C34" s="1006">
        <v>999</v>
      </c>
      <c r="D34" s="1533">
        <f>+'53'!F35</f>
        <v>2113.34</v>
      </c>
      <c r="E34" s="206">
        <f t="shared" si="0"/>
        <v>211.54554554554554</v>
      </c>
    </row>
    <row r="35" spans="1:5" ht="21" customHeight="1">
      <c r="A35" s="595" t="s">
        <v>60</v>
      </c>
      <c r="B35" s="585" t="s">
        <v>107</v>
      </c>
      <c r="C35" s="1006">
        <v>186</v>
      </c>
      <c r="D35" s="1533">
        <f>+'53'!F36</f>
        <v>486</v>
      </c>
      <c r="E35" s="206">
        <f t="shared" si="0"/>
        <v>261.29032258064512</v>
      </c>
    </row>
    <row r="36" spans="1:5" ht="36" customHeight="1">
      <c r="A36" s="189">
        <v>3</v>
      </c>
      <c r="B36" s="1004" t="s">
        <v>609</v>
      </c>
      <c r="C36" s="1005">
        <f>SUM(C37:C38)</f>
        <v>10218</v>
      </c>
      <c r="D36" s="1531">
        <f>SUM(D37:D38)</f>
        <v>14294.701547000001</v>
      </c>
      <c r="E36" s="1532">
        <f t="shared" si="0"/>
        <v>139.89725530436485</v>
      </c>
    </row>
    <row r="37" spans="1:5" ht="24" customHeight="1">
      <c r="A37" s="595" t="s">
        <v>60</v>
      </c>
      <c r="B37" s="585" t="s">
        <v>59</v>
      </c>
      <c r="C37" s="1006">
        <v>5703</v>
      </c>
      <c r="D37" s="1533">
        <f>+'53'!F38</f>
        <v>7157.0179039999994</v>
      </c>
      <c r="E37" s="206">
        <f t="shared" si="0"/>
        <v>125.49566726284411</v>
      </c>
    </row>
    <row r="38" spans="1:5" ht="24" customHeight="1">
      <c r="A38" s="595" t="s">
        <v>60</v>
      </c>
      <c r="B38" s="585" t="s">
        <v>107</v>
      </c>
      <c r="C38" s="1006">
        <v>4515</v>
      </c>
      <c r="D38" s="1533">
        <f>+'53'!F39</f>
        <v>7137.6836430000003</v>
      </c>
      <c r="E38" s="206">
        <f t="shared" si="0"/>
        <v>158.08823129568108</v>
      </c>
    </row>
    <row r="39" spans="1:5" s="39" customFormat="1" ht="24" customHeight="1">
      <c r="A39" s="189" t="s">
        <v>139</v>
      </c>
      <c r="B39" s="1004" t="s">
        <v>1007</v>
      </c>
      <c r="C39" s="1005">
        <f>+C40</f>
        <v>322</v>
      </c>
      <c r="D39" s="1531">
        <f>+D40</f>
        <v>195.41669999999999</v>
      </c>
      <c r="E39" s="1532">
        <f t="shared" si="0"/>
        <v>60.688416149068324</v>
      </c>
    </row>
    <row r="40" spans="1:5" ht="38.25" customHeight="1">
      <c r="A40" s="73">
        <v>1</v>
      </c>
      <c r="B40" s="188" t="s">
        <v>1006</v>
      </c>
      <c r="C40" s="918">
        <v>322</v>
      </c>
      <c r="D40" s="205">
        <f>+'53'!F41</f>
        <v>195.41669999999999</v>
      </c>
      <c r="E40" s="206">
        <f t="shared" si="0"/>
        <v>60.688416149068324</v>
      </c>
    </row>
    <row r="41" spans="1:5" s="39" customFormat="1" ht="14.25">
      <c r="A41" s="189" t="s">
        <v>62</v>
      </c>
      <c r="B41" s="75" t="s">
        <v>503</v>
      </c>
      <c r="C41" s="1005"/>
      <c r="D41" s="1531">
        <f>+D42</f>
        <v>19730.927158999999</v>
      </c>
      <c r="E41" s="1532"/>
    </row>
    <row r="42" spans="1:5">
      <c r="A42" s="189" t="s">
        <v>108</v>
      </c>
      <c r="B42" s="75" t="s">
        <v>107</v>
      </c>
      <c r="C42" s="1005">
        <f>SUM(C43:C70)</f>
        <v>0</v>
      </c>
      <c r="D42" s="1531">
        <f>SUM(D43:D70)</f>
        <v>19730.927158999999</v>
      </c>
      <c r="E42" s="1532"/>
    </row>
    <row r="43" spans="1:5" s="39" customFormat="1" ht="30">
      <c r="A43" s="73">
        <v>1</v>
      </c>
      <c r="B43" s="188" t="str">
        <f>+'53'!B46</f>
        <v xml:space="preserve">Hỗ trợ tiền sử dụng sản phẩm, dịch vụ công ích thủy lợi năm 2025 </v>
      </c>
      <c r="C43" s="1006">
        <f>+'53'!C46</f>
        <v>0</v>
      </c>
      <c r="D43" s="1533">
        <f>+'53'!H46</f>
        <v>76.145248000000009</v>
      </c>
      <c r="E43" s="206"/>
    </row>
    <row r="44" spans="1:5" s="39" customFormat="1" ht="45">
      <c r="A44" s="73">
        <v>2</v>
      </c>
      <c r="B44" s="188" t="str">
        <f>+'53'!B47</f>
        <v xml:space="preserve">Kinh phí bảo trợ xã hội NĐ 20/2021/NĐ-CP; Chính sách hỗ trợ đối tượng bảo trợ xã hội theo quy định tại Nghị quyết số 20/2022/NQ-HĐND </v>
      </c>
      <c r="C44" s="1006"/>
      <c r="D44" s="1533">
        <f>+'53'!H47</f>
        <v>1901.25</v>
      </c>
      <c r="E44" s="206"/>
    </row>
    <row r="45" spans="1:5" s="39" customFormat="1">
      <c r="A45" s="73">
        <v>3</v>
      </c>
      <c r="B45" s="188" t="str">
        <f>+'53'!B48</f>
        <v>Chính sách hỗ trợ tiền điện hộ nghèo, hộ chính sách</v>
      </c>
      <c r="C45" s="1006"/>
      <c r="D45" s="1533">
        <f>+'53'!H48</f>
        <v>273.33179999999999</v>
      </c>
      <c r="E45" s="206"/>
    </row>
    <row r="46" spans="1:5" s="39" customFormat="1" ht="45">
      <c r="A46" s="73">
        <v>4</v>
      </c>
      <c r="B46" s="188" t="str">
        <f>+'53'!B49</f>
        <v>Kinh phí mua BHYT cho đối tượng BTXH, Kinh phí mua BHYT cho cựu chiến binh, thanh niên xung phong, đối tượng tham gia kháng chiến Lào, Campuchia</v>
      </c>
      <c r="C46" s="1006"/>
      <c r="D46" s="1533">
        <f>+'53'!H49</f>
        <v>95.296499999999995</v>
      </c>
      <c r="E46" s="206"/>
    </row>
    <row r="47" spans="1:5" s="39" customFormat="1" ht="90">
      <c r="A47" s="73">
        <v>5</v>
      </c>
      <c r="B47" s="188" t="str">
        <f>+'53'!B50</f>
        <v>Chính sách hỗ trợ miễn giảm học phí, chi phí học tập cho học sinh, sinh viên thuộc hộ nghèo, hộ cận nghèo theo Nghị định số 81/2021/NĐ-CP; NĐ 238/2025/NĐ-CP (không bao gồm 143,0812 triệu đồng từ 40% trích cải cách tiền lương cấp bù học phí kỳ 2 năm học 2024-2025 và kỳ 1 năm học 2025-2026 giữ lại tại xã)</v>
      </c>
      <c r="C47" s="1006"/>
      <c r="D47" s="1533">
        <f>+'53'!H50</f>
        <v>1242.5468000000001</v>
      </c>
      <c r="E47" s="206"/>
    </row>
    <row r="48" spans="1:5" s="39" customFormat="1" ht="30">
      <c r="A48" s="73">
        <v>6</v>
      </c>
      <c r="B48" s="188" t="str">
        <f>+'53'!B51</f>
        <v xml:space="preserve">Hỗ trợ tiền ăn, tiền ở và mua tủ thuốc dùng chung theo Nghị định số 116/2016/NĐ-CP; </v>
      </c>
      <c r="C48" s="1006"/>
      <c r="D48" s="1533">
        <f>+'53'!H51</f>
        <v>2887.3566570000003</v>
      </c>
      <c r="E48" s="206"/>
    </row>
    <row r="49" spans="1:5" s="39" customFormat="1" ht="45">
      <c r="A49" s="73">
        <v>7</v>
      </c>
      <c r="B49" s="188" t="str">
        <f>+'53'!B52</f>
        <v>Chính sách phát triển mầm non (kinh phí hỗ trợ tiền ăn trưa trẻ em 3-5 tuổi, hỗ trợ giáo viên dạy lớp ghép, hỗ trợ kinh phí nấu ăn)</v>
      </c>
      <c r="C49" s="1006"/>
      <c r="D49" s="1533">
        <f>+'53'!H52</f>
        <v>295.49</v>
      </c>
      <c r="E49" s="206"/>
    </row>
    <row r="50" spans="1:5" s="39" customFormat="1" ht="30">
      <c r="A50" s="73">
        <v>8</v>
      </c>
      <c r="B50" s="188" t="str">
        <f>+'53'!B53</f>
        <v>Học bổng, chi phí học tập cho học sinh khuyết tật theo TTLT số 42/2013/TTLT-BGDĐT-BLĐTB&amp;XH</v>
      </c>
      <c r="C50" s="1006"/>
      <c r="D50" s="1533">
        <f>+'53'!H53</f>
        <v>287.44</v>
      </c>
      <c r="E50" s="206"/>
    </row>
    <row r="51" spans="1:5" s="39" customFormat="1" ht="30">
      <c r="A51" s="73">
        <v>9</v>
      </c>
      <c r="B51" s="188" t="str">
        <f>+'53'!B54</f>
        <v>Kinh phí thực hiện giáo viên dạy học sinh khuyết tật theo NĐ 28/2012/NĐ-CP</v>
      </c>
      <c r="C51" s="1006"/>
      <c r="D51" s="1533">
        <f>+'53'!H54</f>
        <v>430.46739399999996</v>
      </c>
      <c r="E51" s="206"/>
    </row>
    <row r="52" spans="1:5" s="39" customFormat="1" ht="45">
      <c r="A52" s="73">
        <v>10</v>
      </c>
      <c r="B52" s="188" t="str">
        <f>+'53'!B55</f>
        <v>Kinh phí thực hiện nhiệm vụ nấu ăn đối với cơ sở giáo dục mầm non công lập theo Nghị quyết số 16/2025/NQ-HĐND ngày 29/8/2025 của HĐND tỉnh Thái Nguyên</v>
      </c>
      <c r="C52" s="1006"/>
      <c r="D52" s="1533">
        <f>+'53'!H55</f>
        <v>60</v>
      </c>
      <c r="E52" s="206"/>
    </row>
    <row r="53" spans="1:5" s="39" customFormat="1" ht="30">
      <c r="A53" s="73">
        <v>11</v>
      </c>
      <c r="B53" s="188" t="str">
        <f>+'53'!B56</f>
        <v>Kinh phí tiền lương và các khoản phụ cấp của CBCC chuyển đến sau 1/7/2025 chưa được bố trí</v>
      </c>
      <c r="C53" s="1006"/>
      <c r="D53" s="1533">
        <f>+'53'!H56</f>
        <v>27</v>
      </c>
      <c r="E53" s="206"/>
    </row>
    <row r="54" spans="1:5" s="39" customFormat="1" ht="30">
      <c r="A54" s="73">
        <v>12</v>
      </c>
      <c r="B54" s="188" t="str">
        <f>+'53'!B57</f>
        <v>Kinh phí theo Nghị quyết số 54/2016/NQ-HĐND tỉnh Bắc Kạn</v>
      </c>
      <c r="C54" s="1006"/>
      <c r="D54" s="1533">
        <f>+'53'!H57</f>
        <v>39.472799999999999</v>
      </c>
      <c r="E54" s="206"/>
    </row>
    <row r="55" spans="1:5" s="39" customFormat="1" ht="30">
      <c r="A55" s="73">
        <v>13</v>
      </c>
      <c r="B55" s="188" t="str">
        <f>+'53'!B58</f>
        <v xml:space="preserve">Kinh phí thực hiện xây dựng xã hội học tập theo Nghị quyết số 19/2022/NQ-HĐND của HĐND tỉnh </v>
      </c>
      <c r="C55" s="1006"/>
      <c r="D55" s="1533">
        <f>+'53'!H58</f>
        <v>14.685500000000001</v>
      </c>
      <c r="E55" s="206"/>
    </row>
    <row r="56" spans="1:5" s="39" customFormat="1" ht="45">
      <c r="A56" s="73">
        <v>14</v>
      </c>
      <c r="B56" s="188" t="str">
        <f>+'53'!B59</f>
        <v>Kinh phí thực hiện chính sách, chế độ theo Nghị định số 178/2024/NĐ-CP ngày 31/12/2024 và Nghị định số 67/2025/NĐ-CP ngày 15/3/2025 của Chính phủ (đợt 3)</v>
      </c>
      <c r="C56" s="1006"/>
      <c r="D56" s="1533">
        <f>+'53'!H59</f>
        <v>638.38099999999997</v>
      </c>
      <c r="E56" s="206"/>
    </row>
    <row r="57" spans="1:5" s="39" customFormat="1" ht="45">
      <c r="A57" s="73">
        <v>15</v>
      </c>
      <c r="B57" s="188" t="str">
        <f>+'53'!B60</f>
        <v>Kinh phí thực hiện chính sách, chế độ theo Nghị định số 178/2024/NĐ-CP ngày 31/12/2024 và Nghị định số 67/2025/NĐ-CP ngày 15/3/2025 của Chính phủ (đợt 5)</v>
      </c>
      <c r="C57" s="1006"/>
      <c r="D57" s="1533">
        <f>+'53'!H60</f>
        <v>2234.5555049999998</v>
      </c>
      <c r="E57" s="206"/>
    </row>
    <row r="58" spans="1:5" s="39" customFormat="1" ht="45">
      <c r="A58" s="73">
        <v>16</v>
      </c>
      <c r="B58" s="188" t="str">
        <f>+'53'!B61</f>
        <v>Về việc phân bổ kinh phí hỗ trợ từ nguồn dự phòng ngân sách Trung ương cho một số đơn vị, địa phương thực hiện nhiệm vụ</v>
      </c>
      <c r="C58" s="1006"/>
      <c r="D58" s="1533">
        <f>+'53'!H61</f>
        <v>500</v>
      </c>
      <c r="E58" s="206"/>
    </row>
    <row r="59" spans="1:5" s="39" customFormat="1" ht="30">
      <c r="A59" s="73">
        <v>17</v>
      </c>
      <c r="B59" s="188" t="str">
        <f>+'53'!B62</f>
        <v>Kinh phí thực hiện tặng quà cho nhân dân nhân dịp kỷ niệm 80 năm Cách mạng tháng Tám và Quốc khánh 2/9</v>
      </c>
      <c r="C59" s="1006"/>
      <c r="D59" s="1533">
        <f>+'53'!H62</f>
        <v>569</v>
      </c>
      <c r="E59" s="206"/>
    </row>
    <row r="60" spans="1:5" s="39" customFormat="1" ht="45">
      <c r="A60" s="73">
        <v>18</v>
      </c>
      <c r="B60" s="188" t="str">
        <f>+'53'!B63</f>
        <v xml:space="preserve">  Kinh phí  thực hiện chính sách, chế độ theo Nghị định số 178/2024/NĐ-CP ngày 31/12/2024 và Nghị định số 67/2025/NĐ-CP ngày 15/3/2025 của Chính phủ </v>
      </c>
      <c r="C60" s="1006"/>
      <c r="D60" s="1533">
        <f>+'53'!H63</f>
        <v>2277.6390000000001</v>
      </c>
      <c r="E60" s="206"/>
    </row>
    <row r="61" spans="1:5" s="39" customFormat="1" ht="30">
      <c r="A61" s="73">
        <v>19</v>
      </c>
      <c r="B61" s="188" t="str">
        <f>+'53'!B64</f>
        <v>Kinh phí thực hiện chính sách, chế độ theo Nghị định số 154/2025/NĐ-CP ngày 15/6/2025 của Chính phủ (đợt 2)</v>
      </c>
      <c r="C61" s="1006"/>
      <c r="D61" s="1533">
        <f>+'53'!H64</f>
        <v>155.73869999999999</v>
      </c>
      <c r="E61" s="206"/>
    </row>
    <row r="62" spans="1:5" s="39" customFormat="1" ht="45">
      <c r="A62" s="73">
        <v>20</v>
      </c>
      <c r="B62" s="188" t="str">
        <f>+'53'!B65</f>
        <v xml:space="preserve">Kinh phí thực hiện chính sách, chế độ theo Nghị định số 178/2024/NĐ-CP ngày 31/12/2024 và Nghị định số 67/2025/NĐ-CP ngày 15/3/2025 của Chính phủ </v>
      </c>
      <c r="C62" s="1006"/>
      <c r="D62" s="1533">
        <f>+'53'!H65</f>
        <v>1540.8194550000001</v>
      </c>
      <c r="E62" s="206"/>
    </row>
    <row r="63" spans="1:5" s="39" customFormat="1" ht="45">
      <c r="A63" s="73">
        <v>21</v>
      </c>
      <c r="B63" s="188" t="str">
        <f>+'53'!B66</f>
        <v>Kinh phí thực hiện các nhiệm vụ đã phê duyệt trước khi sắp xếp đơn vị hành chính (KP bảo vệ rừng tự nhiên phòng hộ, sản xuất năm 2025)</v>
      </c>
      <c r="C63" s="1006"/>
      <c r="D63" s="1533">
        <f>+'53'!H66</f>
        <v>46.794600000000003</v>
      </c>
      <c r="E63" s="206"/>
    </row>
    <row r="64" spans="1:5" s="39" customFormat="1">
      <c r="A64" s="73">
        <v>22</v>
      </c>
      <c r="B64" s="188" t="str">
        <f>+'53'!B67</f>
        <v>Kinh phí thực hiện  tổ chức các hoạt động Tết Trung thu</v>
      </c>
      <c r="C64" s="1006"/>
      <c r="D64" s="1533">
        <f>+'53'!H67</f>
        <v>10</v>
      </c>
      <c r="E64" s="206"/>
    </row>
    <row r="65" spans="1:5" s="39" customFormat="1" ht="30">
      <c r="A65" s="73">
        <v>23</v>
      </c>
      <c r="B65" s="188" t="str">
        <f>+'53'!B68</f>
        <v>Kinh phí thực hiện  sắp xếp, tinh gọn bộ máy, sắp xếp đơn vị hành chính</v>
      </c>
      <c r="C65" s="1006"/>
      <c r="D65" s="1533">
        <f>+'53'!H68</f>
        <v>1484.3592000000001</v>
      </c>
      <c r="E65" s="206"/>
    </row>
    <row r="66" spans="1:5" s="39" customFormat="1" ht="45">
      <c r="A66" s="73">
        <v>24</v>
      </c>
      <c r="B66" s="188" t="str">
        <f>+'53'!B69</f>
        <v>Về việc trích ngân sách tỉnh năm 2025 phân bổ kinh phí cho các đơn vị, địa phương để khắc phục hậu quả do mưa lũ gây ra (Đợt 2)</v>
      </c>
      <c r="C66" s="1006"/>
      <c r="D66" s="1533">
        <f>+'53'!H69</f>
        <v>367.077</v>
      </c>
      <c r="E66" s="206"/>
    </row>
    <row r="67" spans="1:5" s="39" customFormat="1" ht="45">
      <c r="A67" s="73">
        <v>25</v>
      </c>
      <c r="B67" s="188" t="str">
        <f>+'53'!B70</f>
        <v>Kinh phí thực hiện  nhiệm vụ dã được phê duyệt nhiệm vụ đã được phê duyệt trước khi sắp sếp đơn vị hành chính</v>
      </c>
      <c r="C67" s="1006">
        <f>+'53'!C47</f>
        <v>0</v>
      </c>
      <c r="D67" s="1533">
        <f>+'53'!H70</f>
        <v>660</v>
      </c>
      <c r="E67" s="206"/>
    </row>
    <row r="68" spans="1:5" s="39" customFormat="1" ht="30">
      <c r="A68" s="73">
        <v>26</v>
      </c>
      <c r="B68" s="188" t="str">
        <f>+'53'!B71</f>
        <v>Kinh phí thực hiện  chính sách, chế độ Nghị định số 154/2025/NĐ-CP ngày 15/6/2025 của Chính phủ (Đợt 3);</v>
      </c>
      <c r="C68" s="1006">
        <f>+'53'!C48</f>
        <v>0</v>
      </c>
      <c r="D68" s="1533">
        <f>+'53'!H71</f>
        <v>1326.635</v>
      </c>
      <c r="E68" s="206"/>
    </row>
    <row r="69" spans="1:5" s="39" customFormat="1" ht="60">
      <c r="A69" s="73">
        <v>27</v>
      </c>
      <c r="B69" s="188" t="str">
        <f>+'53'!B72</f>
        <v>Kinh phí thực hiện  chính sách, chế độ theo Nghị quyết số 07/2025/NQ-CP ngày 17/9/2025 của Chính phủ và Nghị quyết số 25/2025/NQ-HĐND ngày 28/10/2025 của HĐND tỉnh Thái Nguyên</v>
      </c>
      <c r="C69" s="1006">
        <f>+'53'!C49</f>
        <v>0</v>
      </c>
      <c r="D69" s="1533">
        <f>+'53'!H72</f>
        <v>138.64500000000001</v>
      </c>
      <c r="E69" s="206"/>
    </row>
    <row r="70" spans="1:5" s="39" customFormat="1" ht="75">
      <c r="A70" s="73">
        <v>28</v>
      </c>
      <c r="B70" s="188" t="str">
        <f>+'53'!B73</f>
        <v>Kinh phí thực hiện tặng quà của Đảng, Nhà nước nhân dịp chào mừng Đại hội đại biểu toàn quốc lần thứ XIV của Đảng và Tết Nguyên đán Bính Ngọ năm 2026 theo Nghị quyết số 418/NQ-CP ngày 28/12/2025 của Chính phủ</v>
      </c>
      <c r="C70" s="1006">
        <f>+'53'!C50</f>
        <v>0</v>
      </c>
      <c r="D70" s="1533">
        <f>+'53'!H73</f>
        <v>150.79999999999998</v>
      </c>
      <c r="E70" s="206"/>
    </row>
    <row r="71" spans="1:5" ht="18.75" customHeight="1">
      <c r="A71" s="1007" t="s">
        <v>229</v>
      </c>
      <c r="B71" s="1008" t="s">
        <v>311</v>
      </c>
      <c r="C71" s="920">
        <f>'[1]5.6'!C98</f>
        <v>0</v>
      </c>
      <c r="D71" s="365">
        <f>+'49'!D38</f>
        <v>7524.422407</v>
      </c>
      <c r="E71" s="1009"/>
    </row>
    <row r="72" spans="1:5" hidden="1">
      <c r="C72" s="921"/>
      <c r="D72" s="33"/>
      <c r="E72" s="33"/>
    </row>
    <row r="73" spans="1:5" ht="15.75" hidden="1">
      <c r="C73" s="1788">
        <f>+'49'!C38:E38</f>
        <v>0</v>
      </c>
      <c r="D73" s="1788"/>
      <c r="E73" s="1788"/>
    </row>
    <row r="74" spans="1:5" ht="15.75" hidden="1">
      <c r="C74" s="1787" t="s">
        <v>214</v>
      </c>
      <c r="D74" s="1787"/>
      <c r="E74" s="1787"/>
    </row>
    <row r="75" spans="1:5" ht="15.75" hidden="1">
      <c r="C75" s="1787" t="s">
        <v>215</v>
      </c>
      <c r="D75" s="1787"/>
      <c r="E75" s="1787"/>
    </row>
    <row r="76" spans="1:5" ht="15.75" hidden="1">
      <c r="C76" s="1788" t="s">
        <v>141</v>
      </c>
      <c r="D76" s="1788"/>
      <c r="E76" s="1788"/>
    </row>
    <row r="77" spans="1:5" hidden="1">
      <c r="C77" s="921"/>
      <c r="D77" s="33"/>
    </row>
    <row r="78" spans="1:5" hidden="1">
      <c r="C78" s="921"/>
      <c r="D78" s="33"/>
    </row>
    <row r="79" spans="1:5" hidden="1">
      <c r="C79" s="921"/>
      <c r="D79" s="33"/>
    </row>
    <row r="80" spans="1:5" hidden="1">
      <c r="C80" s="921"/>
      <c r="D80" s="33"/>
    </row>
    <row r="81" spans="3:5" hidden="1">
      <c r="C81" s="921"/>
      <c r="D81" s="33"/>
    </row>
    <row r="82" spans="3:5" hidden="1">
      <c r="C82" s="921"/>
      <c r="D82" s="33"/>
    </row>
    <row r="83" spans="3:5" ht="18.75" hidden="1">
      <c r="C83" s="1789" t="e">
        <f>+'49'!C47:E47</f>
        <v>#REF!</v>
      </c>
      <c r="D83" s="1789"/>
      <c r="E83" s="1789"/>
    </row>
    <row r="84" spans="3:5" hidden="1"/>
  </sheetData>
  <mergeCells count="9">
    <mergeCell ref="C83:E83"/>
    <mergeCell ref="D1:E1"/>
    <mergeCell ref="A2:E2"/>
    <mergeCell ref="C74:E74"/>
    <mergeCell ref="C75:E75"/>
    <mergeCell ref="C76:E76"/>
    <mergeCell ref="C73:E73"/>
    <mergeCell ref="A1:B1"/>
    <mergeCell ref="A3:E3"/>
  </mergeCells>
  <phoneticPr fontId="31" type="noConversion"/>
  <pageMargins left="0.45" right="0.2" top="0.3" bottom="0.38" header="0.18" footer="0.23"/>
  <pageSetup paperSize="9" firstPageNumber="157" orientation="portrait"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0"/>
  </sheetPr>
  <dimension ref="A1:J48"/>
  <sheetViews>
    <sheetView zoomScaleNormal="100" workbookViewId="0">
      <pane ySplit="7" topLeftCell="A31" activePane="bottomLeft" state="frozen"/>
      <selection pane="bottomLeft" activeCell="G9" sqref="G9"/>
    </sheetView>
  </sheetViews>
  <sheetFormatPr defaultColWidth="9.28515625" defaultRowHeight="15"/>
  <cols>
    <col min="1" max="1" width="6.28515625" style="33" customWidth="1"/>
    <col min="2" max="2" width="35" style="33" customWidth="1"/>
    <col min="3" max="3" width="11.7109375" style="378" customWidth="1"/>
    <col min="4" max="4" width="15.28515625" style="36" customWidth="1"/>
    <col min="5" max="5" width="13.7109375" style="50" customWidth="1"/>
    <col min="6" max="6" width="8.42578125" style="33" customWidth="1"/>
    <col min="7" max="7" width="19.5703125" style="62" customWidth="1"/>
    <col min="8" max="8" width="18.28515625" style="62" bestFit="1" customWidth="1"/>
    <col min="9" max="9" width="16.28515625" style="33" bestFit="1" customWidth="1"/>
    <col min="10" max="16384" width="9.28515625" style="33"/>
  </cols>
  <sheetData>
    <row r="1" spans="1:10" ht="23.25" customHeight="1">
      <c r="A1" s="34" t="str">
        <f>'48.QTCĐNSĐP'!A1</f>
        <v>UBND XÃ CƯỜNG LỢI</v>
      </c>
      <c r="E1" s="1792" t="s">
        <v>1427</v>
      </c>
      <c r="F1" s="1792"/>
    </row>
    <row r="2" spans="1:10" ht="48.75" customHeight="1">
      <c r="A2" s="1793" t="s">
        <v>1218</v>
      </c>
      <c r="B2" s="1793"/>
      <c r="C2" s="1793"/>
      <c r="D2" s="1793"/>
      <c r="E2" s="1793"/>
      <c r="F2" s="1793"/>
    </row>
    <row r="3" spans="1:10" ht="27" customHeight="1">
      <c r="A3" s="1749" t="str">
        <f>+'49'!A3:E3</f>
        <v>(Kèm theo Báo cáo số 151/BC-UBND ngày 20/3/2026 của UBND xã Cường Lợi)</v>
      </c>
      <c r="B3" s="1749"/>
      <c r="C3" s="1749"/>
      <c r="D3" s="1749"/>
      <c r="E3" s="1749"/>
      <c r="F3" s="1749"/>
      <c r="G3" s="1588"/>
      <c r="H3" s="1588"/>
      <c r="I3" s="62"/>
    </row>
    <row r="4" spans="1:10" ht="18" customHeight="1">
      <c r="D4" s="51"/>
      <c r="F4" s="63" t="s">
        <v>290</v>
      </c>
    </row>
    <row r="5" spans="1:10">
      <c r="A5" s="1794" t="s">
        <v>291</v>
      </c>
      <c r="B5" s="1794" t="s">
        <v>292</v>
      </c>
      <c r="C5" s="1795" t="s">
        <v>293</v>
      </c>
      <c r="D5" s="1796" t="s">
        <v>136</v>
      </c>
      <c r="E5" s="1794" t="s">
        <v>137</v>
      </c>
      <c r="F5" s="1794"/>
    </row>
    <row r="6" spans="1:10" ht="43.5" customHeight="1">
      <c r="A6" s="1794"/>
      <c r="B6" s="1794"/>
      <c r="C6" s="1795"/>
      <c r="D6" s="1796"/>
      <c r="E6" s="64" t="s">
        <v>138</v>
      </c>
      <c r="F6" s="367" t="s">
        <v>187</v>
      </c>
    </row>
    <row r="7" spans="1:10" s="594" customFormat="1" ht="18.75" customHeight="1">
      <c r="A7" s="801" t="s">
        <v>294</v>
      </c>
      <c r="B7" s="801" t="s">
        <v>295</v>
      </c>
      <c r="C7" s="802">
        <v>1</v>
      </c>
      <c r="D7" s="802">
        <v>2</v>
      </c>
      <c r="E7" s="803" t="s">
        <v>206</v>
      </c>
      <c r="F7" s="801" t="s">
        <v>188</v>
      </c>
      <c r="G7" s="804"/>
      <c r="H7" s="804"/>
    </row>
    <row r="8" spans="1:10" s="41" customFormat="1" ht="22.5" customHeight="1">
      <c r="A8" s="103"/>
      <c r="B8" s="35" t="s">
        <v>339</v>
      </c>
      <c r="C8" s="1526">
        <f>C9+C10+C46</f>
        <v>76858</v>
      </c>
      <c r="D8" s="1404">
        <f>D9+D10+D46</f>
        <v>103957.145976</v>
      </c>
      <c r="E8" s="1404">
        <f>D8-C8</f>
        <v>27099.145976</v>
      </c>
      <c r="F8" s="156">
        <f>D8/C8*100</f>
        <v>135.25871864477347</v>
      </c>
      <c r="G8" s="40"/>
      <c r="H8" s="65"/>
    </row>
    <row r="9" spans="1:10" s="41" customFormat="1" ht="25.5">
      <c r="A9" s="103" t="s">
        <v>294</v>
      </c>
      <c r="B9" s="66" t="s">
        <v>368</v>
      </c>
      <c r="C9" s="1526"/>
      <c r="D9" s="1404"/>
      <c r="E9" s="1404"/>
      <c r="F9" s="156"/>
      <c r="G9" s="65"/>
      <c r="H9" s="65"/>
    </row>
    <row r="10" spans="1:10" s="41" customFormat="1" ht="25.5">
      <c r="A10" s="103" t="s">
        <v>295</v>
      </c>
      <c r="B10" s="66" t="s">
        <v>1220</v>
      </c>
      <c r="C10" s="1526">
        <f>C11+C28+C43+C44+C45</f>
        <v>76858</v>
      </c>
      <c r="D10" s="1526">
        <f>D11+D28+D43+D44+D45+D46+D47+D48</f>
        <v>103957.145976</v>
      </c>
      <c r="E10" s="1526">
        <f>+D10-C10</f>
        <v>27099.145976</v>
      </c>
      <c r="F10" s="156">
        <f>D10/C10*100</f>
        <v>135.25871864477347</v>
      </c>
      <c r="G10" s="65"/>
      <c r="H10" s="67"/>
      <c r="I10" s="68"/>
      <c r="J10" s="69"/>
    </row>
    <row r="11" spans="1:10" s="39" customFormat="1">
      <c r="A11" s="158" t="s">
        <v>296</v>
      </c>
      <c r="B11" s="159" t="s">
        <v>72</v>
      </c>
      <c r="C11" s="1527">
        <f>C12+C27</f>
        <v>7200</v>
      </c>
      <c r="D11" s="161">
        <f>D12+D27</f>
        <v>13187.067846000002</v>
      </c>
      <c r="E11" s="161">
        <f>+D11-C11</f>
        <v>5987.0678460000017</v>
      </c>
      <c r="F11" s="160"/>
      <c r="G11" s="62"/>
      <c r="H11" s="53"/>
      <c r="I11" s="72"/>
      <c r="J11" s="69"/>
    </row>
    <row r="12" spans="1:10">
      <c r="A12" s="155">
        <v>1</v>
      </c>
      <c r="B12" s="167" t="s">
        <v>341</v>
      </c>
      <c r="C12" s="1525">
        <f>+'53'!C11+'CTMT, NV.PB01'!J74+'CTMT, NV.PB01'!J43</f>
        <v>7200</v>
      </c>
      <c r="D12" s="54">
        <f>SUM(D13:D25)</f>
        <v>13187.067846000002</v>
      </c>
      <c r="E12" s="54">
        <f>+D12-C12</f>
        <v>5987.0678460000017</v>
      </c>
      <c r="F12" s="45"/>
      <c r="H12" s="53"/>
      <c r="I12" s="53"/>
      <c r="J12" s="69"/>
    </row>
    <row r="13" spans="1:10">
      <c r="A13" s="155" t="s">
        <v>71</v>
      </c>
      <c r="B13" s="167" t="s">
        <v>221</v>
      </c>
      <c r="C13" s="1525"/>
      <c r="D13" s="54">
        <v>2959.7739230000002</v>
      </c>
      <c r="E13" s="54">
        <f>D13-C13</f>
        <v>2959.7739230000002</v>
      </c>
      <c r="F13" s="45"/>
    </row>
    <row r="14" spans="1:10">
      <c r="A14" s="155" t="s">
        <v>71</v>
      </c>
      <c r="B14" s="167" t="s">
        <v>273</v>
      </c>
      <c r="C14" s="1525"/>
      <c r="D14" s="54"/>
      <c r="E14" s="54">
        <f t="shared" ref="E14:E41" si="0">D14-C14</f>
        <v>0</v>
      </c>
      <c r="F14" s="45"/>
    </row>
    <row r="15" spans="1:10">
      <c r="A15" s="155" t="s">
        <v>71</v>
      </c>
      <c r="B15" s="167" t="s">
        <v>274</v>
      </c>
      <c r="C15" s="1525"/>
      <c r="D15" s="54"/>
      <c r="E15" s="54"/>
      <c r="F15" s="45"/>
    </row>
    <row r="16" spans="1:10">
      <c r="A16" s="155" t="s">
        <v>71</v>
      </c>
      <c r="B16" s="167" t="s">
        <v>342</v>
      </c>
      <c r="C16" s="1525"/>
      <c r="D16" s="54"/>
      <c r="E16" s="54"/>
      <c r="F16" s="45"/>
    </row>
    <row r="17" spans="1:8">
      <c r="A17" s="155" t="s">
        <v>71</v>
      </c>
      <c r="B17" s="167" t="s">
        <v>348</v>
      </c>
      <c r="C17" s="1525"/>
      <c r="D17" s="54"/>
      <c r="E17" s="54"/>
      <c r="F17" s="45"/>
    </row>
    <row r="18" spans="1:8">
      <c r="A18" s="155" t="s">
        <v>71</v>
      </c>
      <c r="B18" s="167" t="s">
        <v>349</v>
      </c>
      <c r="C18" s="1525"/>
      <c r="D18" s="54">
        <v>497.90660000000003</v>
      </c>
      <c r="E18" s="54">
        <f t="shared" si="0"/>
        <v>497.90660000000003</v>
      </c>
      <c r="F18" s="45"/>
    </row>
    <row r="19" spans="1:8">
      <c r="A19" s="155" t="s">
        <v>71</v>
      </c>
      <c r="B19" s="167" t="s">
        <v>312</v>
      </c>
      <c r="C19" s="1525"/>
      <c r="D19" s="54"/>
      <c r="E19" s="54">
        <f t="shared" si="0"/>
        <v>0</v>
      </c>
      <c r="F19" s="45"/>
    </row>
    <row r="20" spans="1:8">
      <c r="A20" s="155" t="s">
        <v>71</v>
      </c>
      <c r="B20" s="167" t="s">
        <v>343</v>
      </c>
      <c r="C20" s="1525"/>
      <c r="D20" s="54"/>
      <c r="E20" s="54">
        <f t="shared" si="0"/>
        <v>0</v>
      </c>
      <c r="F20" s="45"/>
    </row>
    <row r="21" spans="1:8">
      <c r="A21" s="155" t="s">
        <v>71</v>
      </c>
      <c r="B21" s="167" t="s">
        <v>350</v>
      </c>
      <c r="C21" s="1525"/>
      <c r="D21" s="54"/>
      <c r="E21" s="54"/>
      <c r="F21" s="45"/>
    </row>
    <row r="22" spans="1:8">
      <c r="A22" s="155" t="s">
        <v>71</v>
      </c>
      <c r="B22" s="167" t="s">
        <v>344</v>
      </c>
      <c r="C22" s="1525"/>
      <c r="D22" s="54">
        <v>8673.3873230000008</v>
      </c>
      <c r="E22" s="54">
        <f t="shared" si="0"/>
        <v>8673.3873230000008</v>
      </c>
      <c r="F22" s="45"/>
    </row>
    <row r="23" spans="1:8" ht="25.5">
      <c r="A23" s="155" t="s">
        <v>71</v>
      </c>
      <c r="B23" s="167" t="s">
        <v>313</v>
      </c>
      <c r="C23" s="1525"/>
      <c r="D23" s="54">
        <v>1056</v>
      </c>
      <c r="E23" s="54">
        <f t="shared" si="0"/>
        <v>1056</v>
      </c>
      <c r="F23" s="45"/>
    </row>
    <row r="24" spans="1:8">
      <c r="A24" s="155" t="s">
        <v>71</v>
      </c>
      <c r="B24" s="167" t="s">
        <v>74</v>
      </c>
      <c r="C24" s="1525"/>
      <c r="D24" s="54"/>
      <c r="E24" s="54"/>
      <c r="F24" s="45"/>
    </row>
    <row r="25" spans="1:8" ht="25.5">
      <c r="A25" s="155" t="s">
        <v>71</v>
      </c>
      <c r="B25" s="167" t="s">
        <v>944</v>
      </c>
      <c r="C25" s="1525"/>
      <c r="D25" s="54"/>
      <c r="E25" s="54">
        <f t="shared" si="0"/>
        <v>0</v>
      </c>
      <c r="F25" s="45"/>
    </row>
    <row r="26" spans="1:8" s="37" customFormat="1" ht="63.75">
      <c r="A26" s="155">
        <v>2</v>
      </c>
      <c r="B26" s="32" t="s">
        <v>271</v>
      </c>
      <c r="C26" s="1525"/>
      <c r="D26" s="54"/>
      <c r="E26" s="54">
        <f t="shared" si="0"/>
        <v>0</v>
      </c>
      <c r="F26" s="45"/>
      <c r="G26" s="65"/>
      <c r="H26" s="65"/>
    </row>
    <row r="27" spans="1:8">
      <c r="A27" s="155">
        <v>3</v>
      </c>
      <c r="B27" s="167" t="s">
        <v>586</v>
      </c>
      <c r="C27" s="1525"/>
      <c r="D27" s="54"/>
      <c r="E27" s="54"/>
      <c r="F27" s="45"/>
    </row>
    <row r="28" spans="1:8" s="39" customFormat="1">
      <c r="A28" s="38" t="s">
        <v>139</v>
      </c>
      <c r="B28" s="162" t="s">
        <v>446</v>
      </c>
      <c r="C28" s="1524">
        <f>+'53'!C20+'CTMT, NV.PB01'!J12+'CTMT, NV.PB01'!J52+'CTMT, NV.PB01'!J89+322</f>
        <v>68508</v>
      </c>
      <c r="D28" s="172">
        <f>SUM(D29:D42)</f>
        <v>83065.532722999982</v>
      </c>
      <c r="E28" s="1524">
        <f>+D28-C28</f>
        <v>14557.532722999982</v>
      </c>
      <c r="F28" s="163">
        <f>D28/C28*100</f>
        <v>121.24939090763121</v>
      </c>
      <c r="G28" s="62"/>
      <c r="H28" s="62"/>
    </row>
    <row r="29" spans="1:8">
      <c r="A29" s="155" t="s">
        <v>71</v>
      </c>
      <c r="B29" s="167" t="s">
        <v>221</v>
      </c>
      <c r="C29" s="1525"/>
      <c r="D29" s="54">
        <v>36826.318904</v>
      </c>
      <c r="E29" s="54">
        <f t="shared" si="0"/>
        <v>36826.318904</v>
      </c>
      <c r="F29" s="45"/>
    </row>
    <row r="30" spans="1:8">
      <c r="A30" s="155" t="s">
        <v>71</v>
      </c>
      <c r="B30" s="167" t="s">
        <v>315</v>
      </c>
      <c r="C30" s="1525"/>
      <c r="D30" s="54">
        <v>0</v>
      </c>
      <c r="E30" s="54">
        <f t="shared" si="0"/>
        <v>0</v>
      </c>
      <c r="F30" s="45"/>
    </row>
    <row r="31" spans="1:8">
      <c r="A31" s="155" t="s">
        <v>71</v>
      </c>
      <c r="B31" s="167" t="s">
        <v>274</v>
      </c>
      <c r="C31" s="1525"/>
      <c r="D31" s="54">
        <v>691.08712000000003</v>
      </c>
      <c r="E31" s="54">
        <f t="shared" si="0"/>
        <v>691.08712000000003</v>
      </c>
      <c r="F31" s="45"/>
    </row>
    <row r="32" spans="1:8">
      <c r="A32" s="155" t="s">
        <v>71</v>
      </c>
      <c r="B32" s="167" t="s">
        <v>342</v>
      </c>
      <c r="C32" s="1525"/>
      <c r="D32" s="54">
        <v>353.69</v>
      </c>
      <c r="E32" s="54">
        <f t="shared" si="0"/>
        <v>353.69</v>
      </c>
      <c r="F32" s="45"/>
    </row>
    <row r="33" spans="1:6">
      <c r="A33" s="155" t="s">
        <v>71</v>
      </c>
      <c r="B33" s="167" t="s">
        <v>348</v>
      </c>
      <c r="C33" s="1525"/>
      <c r="D33" s="54">
        <v>95.296499999999995</v>
      </c>
      <c r="E33" s="54">
        <f t="shared" si="0"/>
        <v>95.296499999999995</v>
      </c>
      <c r="F33" s="45"/>
    </row>
    <row r="34" spans="1:6">
      <c r="A34" s="155" t="s">
        <v>71</v>
      </c>
      <c r="B34" s="167" t="s">
        <v>349</v>
      </c>
      <c r="C34" s="1525"/>
      <c r="D34" s="54">
        <v>872.01329999999996</v>
      </c>
      <c r="E34" s="54">
        <f t="shared" si="0"/>
        <v>872.01329999999996</v>
      </c>
      <c r="F34" s="45"/>
    </row>
    <row r="35" spans="1:6">
      <c r="A35" s="155" t="s">
        <v>71</v>
      </c>
      <c r="B35" s="167" t="s">
        <v>312</v>
      </c>
      <c r="C35" s="1525"/>
      <c r="D35" s="54">
        <v>3.36</v>
      </c>
      <c r="E35" s="54">
        <f t="shared" si="0"/>
        <v>3.36</v>
      </c>
      <c r="F35" s="45"/>
    </row>
    <row r="36" spans="1:6">
      <c r="A36" s="155" t="s">
        <v>71</v>
      </c>
      <c r="B36" s="167" t="s">
        <v>343</v>
      </c>
      <c r="C36" s="1525"/>
      <c r="D36" s="54">
        <v>50.785820000000001</v>
      </c>
      <c r="E36" s="54">
        <f t="shared" si="0"/>
        <v>50.785820000000001</v>
      </c>
      <c r="F36" s="45"/>
    </row>
    <row r="37" spans="1:6">
      <c r="A37" s="155" t="s">
        <v>71</v>
      </c>
      <c r="B37" s="167" t="s">
        <v>350</v>
      </c>
      <c r="C37" s="1525"/>
      <c r="D37" s="54">
        <v>500</v>
      </c>
      <c r="E37" s="54">
        <f>D37-C37</f>
        <v>500</v>
      </c>
      <c r="F37" s="45"/>
    </row>
    <row r="38" spans="1:6">
      <c r="A38" s="155" t="s">
        <v>71</v>
      </c>
      <c r="B38" s="167" t="s">
        <v>344</v>
      </c>
      <c r="C38" s="1525"/>
      <c r="D38" s="54">
        <v>11503.964894999999</v>
      </c>
      <c r="E38" s="54">
        <f>D38-C38</f>
        <v>11503.964894999999</v>
      </c>
      <c r="F38" s="45"/>
    </row>
    <row r="39" spans="1:6" ht="25.5">
      <c r="A39" s="155" t="s">
        <v>71</v>
      </c>
      <c r="B39" s="381" t="s">
        <v>313</v>
      </c>
      <c r="C39" s="1525"/>
      <c r="D39" s="54">
        <v>27329.291058999999</v>
      </c>
      <c r="E39" s="54">
        <f t="shared" si="0"/>
        <v>27329.291058999999</v>
      </c>
      <c r="F39" s="45"/>
    </row>
    <row r="40" spans="1:6">
      <c r="A40" s="155" t="s">
        <v>71</v>
      </c>
      <c r="B40" s="167" t="s">
        <v>74</v>
      </c>
      <c r="C40" s="1525"/>
      <c r="D40" s="54">
        <v>4529.7251249999999</v>
      </c>
      <c r="E40" s="54">
        <f t="shared" si="0"/>
        <v>4529.7251249999999</v>
      </c>
      <c r="F40" s="45"/>
    </row>
    <row r="41" spans="1:6">
      <c r="A41" s="155" t="s">
        <v>71</v>
      </c>
      <c r="B41" s="167" t="s">
        <v>345</v>
      </c>
      <c r="C41" s="1525"/>
      <c r="D41" s="54">
        <v>310</v>
      </c>
      <c r="E41" s="54">
        <f t="shared" si="0"/>
        <v>310</v>
      </c>
      <c r="F41" s="45"/>
    </row>
    <row r="42" spans="1:6">
      <c r="A42" s="155" t="s">
        <v>71</v>
      </c>
      <c r="B42" s="167" t="s">
        <v>585</v>
      </c>
      <c r="C42" s="1525"/>
      <c r="D42" s="54"/>
      <c r="E42" s="54"/>
      <c r="F42" s="45"/>
    </row>
    <row r="43" spans="1:6" s="1521" customFormat="1" ht="25.5">
      <c r="A43" s="1516" t="s">
        <v>62</v>
      </c>
      <c r="B43" s="1517" t="s">
        <v>1221</v>
      </c>
      <c r="C43" s="1518"/>
      <c r="D43" s="1519"/>
      <c r="E43" s="1519"/>
      <c r="F43" s="1520"/>
    </row>
    <row r="44" spans="1:6" s="1521" customFormat="1" ht="12.75">
      <c r="A44" s="1516" t="s">
        <v>63</v>
      </c>
      <c r="B44" s="1517" t="s">
        <v>1222</v>
      </c>
      <c r="C44" s="1518"/>
      <c r="D44" s="1519"/>
      <c r="E44" s="1519"/>
      <c r="F44" s="1520"/>
    </row>
    <row r="45" spans="1:6" s="1521" customFormat="1" ht="12.75">
      <c r="A45" s="1516" t="s">
        <v>67</v>
      </c>
      <c r="B45" s="1517" t="s">
        <v>376</v>
      </c>
      <c r="C45" s="1518">
        <v>1150</v>
      </c>
      <c r="D45" s="1519"/>
      <c r="E45" s="1519"/>
      <c r="F45" s="1520"/>
    </row>
    <row r="46" spans="1:6" s="1521" customFormat="1" ht="12.75">
      <c r="A46" s="1516" t="s">
        <v>234</v>
      </c>
      <c r="B46" s="1517" t="s">
        <v>472</v>
      </c>
      <c r="C46" s="1522"/>
      <c r="D46" s="1519"/>
      <c r="E46" s="1519"/>
      <c r="F46" s="1520"/>
    </row>
    <row r="47" spans="1:6" s="1521" customFormat="1" ht="12.75">
      <c r="A47" s="1516" t="s">
        <v>346</v>
      </c>
      <c r="B47" s="1517" t="s">
        <v>329</v>
      </c>
      <c r="C47" s="1522"/>
      <c r="D47" s="1523">
        <f>+'53'!H28</f>
        <v>180.12299999999999</v>
      </c>
      <c r="E47" s="1519"/>
      <c r="F47" s="1520"/>
    </row>
    <row r="48" spans="1:6" s="1521" customFormat="1" ht="12.75">
      <c r="A48" s="1516" t="s">
        <v>229</v>
      </c>
      <c r="B48" s="1517" t="s">
        <v>311</v>
      </c>
      <c r="C48" s="1522"/>
      <c r="D48" s="1523">
        <f>+'53'!H74</f>
        <v>7524.422407</v>
      </c>
      <c r="E48" s="1519"/>
      <c r="F48" s="1520"/>
    </row>
  </sheetData>
  <mergeCells count="8">
    <mergeCell ref="E1:F1"/>
    <mergeCell ref="A2:F2"/>
    <mergeCell ref="A5:A6"/>
    <mergeCell ref="B5:B6"/>
    <mergeCell ref="C5:C6"/>
    <mergeCell ref="D5:D6"/>
    <mergeCell ref="E5:F5"/>
    <mergeCell ref="A3:F3"/>
  </mergeCells>
  <phoneticPr fontId="31" type="noConversion"/>
  <pageMargins left="0.95" right="0.2" top="0.6" bottom="0.49" header="0.3" footer="0.23"/>
  <pageSetup paperSize="9" firstPageNumber="157"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34</vt:i4>
      </vt:variant>
      <vt:variant>
        <vt:lpstr>Phạm vi Có tên</vt:lpstr>
      </vt:variant>
      <vt:variant>
        <vt:i4>22</vt:i4>
      </vt:variant>
    </vt:vector>
  </HeadingPairs>
  <TitlesOfParts>
    <vt:vector size="56" baseType="lpstr">
      <vt:lpstr>PL tong hop</vt:lpstr>
      <vt:lpstr>SGV</vt:lpstr>
      <vt:lpstr>PHỤ LỤC</vt:lpstr>
      <vt:lpstr>48.QTCĐNSĐP</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CTMT, NV.PB01</vt:lpstr>
      <vt:lpstr>CCTL.PB02</vt:lpstr>
      <vt:lpstr>kết dư</vt:lpstr>
      <vt:lpstr>chuyển nguồn</vt:lpstr>
      <vt:lpstr>Chi NSĐP</vt:lpstr>
      <vt:lpstr>Nguồn CCTL</vt:lpstr>
      <vt:lpstr>Sheet1</vt:lpstr>
      <vt:lpstr>Sheet2</vt:lpstr>
      <vt:lpstr>pb01</vt:lpstr>
      <vt:lpstr>pb02</vt:lpstr>
      <vt:lpstr>PB03</vt:lpstr>
      <vt:lpstr>PB04</vt:lpstr>
      <vt:lpstr>pl05</vt:lpstr>
      <vt:lpstr>PL06</vt:lpstr>
      <vt:lpstr>'50'!Print_Titles</vt:lpstr>
      <vt:lpstr>'51'!Print_Titles</vt:lpstr>
      <vt:lpstr>'52'!Print_Titles</vt:lpstr>
      <vt:lpstr>'53'!Print_Titles</vt:lpstr>
      <vt:lpstr>'54'!Print_Titles</vt:lpstr>
      <vt:lpstr>'55'!Print_Titles</vt:lpstr>
      <vt:lpstr>'56'!Print_Titles</vt:lpstr>
      <vt:lpstr>'57'!Print_Titles</vt:lpstr>
      <vt:lpstr>'58'!Print_Titles</vt:lpstr>
      <vt:lpstr>'59'!Print_Titles</vt:lpstr>
      <vt:lpstr>'60'!Print_Titles</vt:lpstr>
      <vt:lpstr>'61'!Print_Titles</vt:lpstr>
      <vt:lpstr>'62'!Print_Titles</vt:lpstr>
      <vt:lpstr>'63'!Print_Titles</vt:lpstr>
      <vt:lpstr>'CTMT, NV.PB01'!Print_Titles</vt:lpstr>
      <vt:lpstr>'pb01'!Print_Titles</vt:lpstr>
      <vt:lpstr>'pb02'!Print_Titles</vt:lpstr>
      <vt:lpstr>'PB03'!Print_Titles</vt:lpstr>
      <vt:lpstr>'PB04'!Print_Titles</vt:lpstr>
      <vt:lpstr>'PHỤ LỤC'!Print_Titles</vt:lpstr>
      <vt:lpstr>'PL tong hop'!Print_Titles</vt:lpstr>
      <vt:lpstr>'pl05'!Print_Titles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Hop Than</cp:lastModifiedBy>
  <cp:lastPrinted>2026-04-03T10:38:25Z</cp:lastPrinted>
  <dcterms:created xsi:type="dcterms:W3CDTF">2017-05-03T08:35:13Z</dcterms:created>
  <dcterms:modified xsi:type="dcterms:W3CDTF">2026-04-08T03:30:11Z</dcterms:modified>
</cp:coreProperties>
</file>